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uench1\Desktop\REVISION Nat Commun\Runde2\track changes\Zum Wegschicken\"/>
    </mc:Choice>
  </mc:AlternateContent>
  <bookViews>
    <workbookView xWindow="0" yWindow="0" windowWidth="19200" windowHeight="7050"/>
  </bookViews>
  <sheets>
    <sheet name="Source Data_Suppl. Table 1" sheetId="1" r:id="rId1"/>
    <sheet name="Source Data_Suppl. Table 3" sheetId="2" r:id="rId2"/>
    <sheet name="Source Data_Suppl. Fig. 3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1" l="1"/>
  <c r="H42" i="1"/>
  <c r="H45" i="1"/>
  <c r="H36" i="1"/>
  <c r="G39" i="1"/>
  <c r="G42" i="1"/>
  <c r="G45" i="1"/>
  <c r="G36" i="1"/>
  <c r="E45" i="1"/>
  <c r="E42" i="1"/>
  <c r="E39" i="1"/>
  <c r="E36" i="1"/>
  <c r="F45" i="1"/>
  <c r="F42" i="1"/>
  <c r="F39" i="1"/>
  <c r="F36" i="1"/>
  <c r="D37" i="1"/>
  <c r="D38" i="1"/>
  <c r="D39" i="1"/>
  <c r="D40" i="1"/>
  <c r="D41" i="1"/>
  <c r="D42" i="1"/>
  <c r="D43" i="1"/>
  <c r="D44" i="1"/>
  <c r="D45" i="1"/>
  <c r="D46" i="1"/>
  <c r="D47" i="1"/>
  <c r="D36" i="1"/>
  <c r="E24" i="2"/>
  <c r="D25" i="2"/>
  <c r="E25" i="2"/>
  <c r="D26" i="2"/>
  <c r="E26" i="2"/>
  <c r="E27" i="2"/>
  <c r="D28" i="2"/>
  <c r="E28" i="2"/>
  <c r="E29" i="2"/>
  <c r="D30" i="2"/>
  <c r="E30" i="2"/>
  <c r="D31" i="2"/>
  <c r="E31" i="2"/>
  <c r="D32" i="2"/>
  <c r="E32" i="2"/>
  <c r="D33" i="2"/>
  <c r="E33" i="2"/>
  <c r="D34" i="2"/>
  <c r="E34" i="2"/>
  <c r="D35" i="2"/>
  <c r="E35" i="2"/>
  <c r="E36" i="2"/>
  <c r="D37" i="2"/>
  <c r="E37" i="2"/>
  <c r="AA19" i="2"/>
  <c r="Z19" i="2"/>
  <c r="Y19" i="2"/>
  <c r="X19" i="2"/>
  <c r="AC19" i="2" s="1"/>
  <c r="AE19" i="2" s="1"/>
  <c r="R19" i="2"/>
  <c r="Q19" i="2"/>
  <c r="P19" i="2"/>
  <c r="O19" i="2"/>
  <c r="U19" i="2" s="1"/>
  <c r="I19" i="2"/>
  <c r="H19" i="2"/>
  <c r="W19" i="2" s="1"/>
  <c r="AA18" i="2"/>
  <c r="Z18" i="2"/>
  <c r="Y18" i="2"/>
  <c r="X18" i="2"/>
  <c r="R18" i="2"/>
  <c r="Q18" i="2"/>
  <c r="P18" i="2"/>
  <c r="O18" i="2"/>
  <c r="I18" i="2"/>
  <c r="H18" i="2"/>
  <c r="AA17" i="2"/>
  <c r="Z17" i="2"/>
  <c r="Y17" i="2"/>
  <c r="X17" i="2"/>
  <c r="AC17" i="2" s="1"/>
  <c r="AE17" i="2" s="1"/>
  <c r="R17" i="2"/>
  <c r="Q17" i="2"/>
  <c r="P17" i="2"/>
  <c r="O17" i="2"/>
  <c r="I17" i="2"/>
  <c r="H17" i="2"/>
  <c r="G17" i="2"/>
  <c r="F17" i="2"/>
  <c r="U17" i="2" s="1"/>
  <c r="AA16" i="2"/>
  <c r="Z16" i="2"/>
  <c r="Y16" i="2"/>
  <c r="X16" i="2"/>
  <c r="AC16" i="2" s="1"/>
  <c r="AE16" i="2" s="1"/>
  <c r="R16" i="2"/>
  <c r="Q16" i="2"/>
  <c r="P16" i="2"/>
  <c r="O16" i="2"/>
  <c r="I16" i="2"/>
  <c r="H16" i="2"/>
  <c r="V16" i="2" s="1"/>
  <c r="G16" i="2"/>
  <c r="F16" i="2"/>
  <c r="AA15" i="2"/>
  <c r="Z15" i="2"/>
  <c r="Y15" i="2"/>
  <c r="X15" i="2"/>
  <c r="R15" i="2"/>
  <c r="Q15" i="2"/>
  <c r="P15" i="2"/>
  <c r="O15" i="2"/>
  <c r="I15" i="2"/>
  <c r="H15" i="2"/>
  <c r="G15" i="2"/>
  <c r="F15" i="2"/>
  <c r="AA14" i="2"/>
  <c r="Z14" i="2"/>
  <c r="Y14" i="2"/>
  <c r="X14" i="2"/>
  <c r="AC14" i="2" s="1"/>
  <c r="AE14" i="2" s="1"/>
  <c r="R14" i="2"/>
  <c r="Q14" i="2"/>
  <c r="P14" i="2"/>
  <c r="O14" i="2"/>
  <c r="I14" i="2"/>
  <c r="H14" i="2"/>
  <c r="V14" i="2" s="1"/>
  <c r="G14" i="2"/>
  <c r="F14" i="2"/>
  <c r="AA13" i="2"/>
  <c r="Z13" i="2"/>
  <c r="Y13" i="2"/>
  <c r="X13" i="2"/>
  <c r="R13" i="2"/>
  <c r="Q13" i="2"/>
  <c r="P13" i="2"/>
  <c r="U13" i="2" s="1"/>
  <c r="O13" i="2"/>
  <c r="AA12" i="2"/>
  <c r="Z12" i="2"/>
  <c r="Y12" i="2"/>
  <c r="X12" i="2"/>
  <c r="R12" i="2"/>
  <c r="W12" i="2" s="1"/>
  <c r="Q12" i="2"/>
  <c r="P12" i="2"/>
  <c r="O12" i="2"/>
  <c r="AA11" i="2"/>
  <c r="Z11" i="2"/>
  <c r="Y11" i="2"/>
  <c r="X11" i="2"/>
  <c r="U11" i="2"/>
  <c r="R11" i="2"/>
  <c r="Q11" i="2"/>
  <c r="W11" i="2" s="1"/>
  <c r="P11" i="2"/>
  <c r="O11" i="2"/>
  <c r="T13" i="2" l="1"/>
  <c r="T11" i="2"/>
  <c r="U15" i="2"/>
  <c r="U12" i="2"/>
  <c r="AB12" i="2"/>
  <c r="AD12" i="2" s="1"/>
  <c r="W15" i="2"/>
  <c r="W17" i="2"/>
  <c r="AC13" i="2"/>
  <c r="AE13" i="2" s="1"/>
  <c r="AC15" i="2"/>
  <c r="AE15" i="2" s="1"/>
  <c r="AB17" i="2"/>
  <c r="AD17" i="2" s="1"/>
  <c r="AC18" i="2"/>
  <c r="AE18" i="2" s="1"/>
  <c r="U16" i="2"/>
  <c r="W18" i="2"/>
  <c r="T12" i="2"/>
  <c r="U14" i="2"/>
  <c r="W13" i="2"/>
  <c r="AC11" i="2"/>
  <c r="AE11" i="2" s="1"/>
  <c r="W14" i="2"/>
  <c r="W16" i="2"/>
  <c r="U18" i="2"/>
  <c r="AB13" i="2"/>
  <c r="AD13" i="2" s="1"/>
  <c r="T15" i="2"/>
  <c r="AB15" i="2"/>
  <c r="AD15" i="2" s="1"/>
  <c r="T17" i="2"/>
  <c r="AB11" i="2"/>
  <c r="V13" i="2"/>
  <c r="V15" i="2"/>
  <c r="V17" i="2"/>
  <c r="T18" i="2"/>
  <c r="AB18" i="2"/>
  <c r="AC12" i="2"/>
  <c r="AE12" i="2" s="1"/>
  <c r="V11" i="2"/>
  <c r="T19" i="2"/>
  <c r="AB19" i="2"/>
  <c r="AD19" i="2" s="1"/>
  <c r="T14" i="2"/>
  <c r="AB14" i="2"/>
  <c r="AD14" i="2" s="1"/>
  <c r="T16" i="2"/>
  <c r="AB16" i="2"/>
  <c r="AD16" i="2" s="1"/>
  <c r="V18" i="2"/>
  <c r="V12" i="2"/>
  <c r="V19" i="2"/>
  <c r="E31" i="1" l="1"/>
  <c r="D31" i="1"/>
  <c r="E30" i="1"/>
  <c r="D30" i="1"/>
  <c r="E29" i="1"/>
  <c r="D29" i="1"/>
  <c r="E28" i="1"/>
  <c r="D28" i="1"/>
  <c r="E27" i="1"/>
  <c r="D27" i="1"/>
  <c r="E26" i="1"/>
  <c r="D26" i="1"/>
  <c r="E25" i="1"/>
  <c r="D25" i="1"/>
  <c r="E24" i="1"/>
  <c r="D24" i="1"/>
  <c r="E23" i="1"/>
  <c r="D23" i="1"/>
  <c r="E22" i="1"/>
  <c r="D22" i="1"/>
  <c r="E21" i="1"/>
  <c r="H54" i="1" l="1"/>
  <c r="H53" i="1"/>
  <c r="H52" i="1"/>
  <c r="H51" i="1"/>
</calcChain>
</file>

<file path=xl/sharedStrings.xml><?xml version="1.0" encoding="utf-8"?>
<sst xmlns="http://schemas.openxmlformats.org/spreadsheetml/2006/main" count="231" uniqueCount="72">
  <si>
    <t>HAR</t>
  </si>
  <si>
    <t>DBQ</t>
  </si>
  <si>
    <t>DBQ/HAR</t>
  </si>
  <si>
    <t>L42A</t>
  </si>
  <si>
    <t>Y43A</t>
  </si>
  <si>
    <t>F89A</t>
  </si>
  <si>
    <t>Purified complex I</t>
  </si>
  <si>
    <t>DBQ/CI [%]</t>
  </si>
  <si>
    <t>D41A</t>
  </si>
  <si>
    <t>E44A</t>
  </si>
  <si>
    <t>N88A</t>
  </si>
  <si>
    <t>W90A</t>
  </si>
  <si>
    <t>K91A</t>
  </si>
  <si>
    <t>Q92A</t>
  </si>
  <si>
    <t>Q93A</t>
  </si>
  <si>
    <r>
      <rPr>
        <vertAlign val="superscript"/>
        <sz val="11"/>
        <color theme="1"/>
        <rFont val="Calibri"/>
        <family val="2"/>
        <scheme val="minor"/>
      </rPr>
      <t xml:space="preserve">NDUFS2 </t>
    </r>
    <r>
      <rPr>
        <sz val="11"/>
        <color theme="1"/>
        <rFont val="Calibri"/>
        <family val="2"/>
        <scheme val="minor"/>
      </rPr>
      <t>parental</t>
    </r>
  </si>
  <si>
    <t>T84A</t>
  </si>
  <si>
    <t>N86A</t>
  </si>
  <si>
    <r>
      <rPr>
        <vertAlign val="superscript"/>
        <sz val="11"/>
        <color theme="1"/>
        <rFont val="Calibri"/>
        <family val="2"/>
        <scheme val="minor"/>
      </rPr>
      <t xml:space="preserve">NDUFS7 </t>
    </r>
    <r>
      <rPr>
        <sz val="11"/>
        <color theme="1"/>
        <rFont val="Calibri"/>
        <family val="2"/>
        <scheme val="minor"/>
      </rPr>
      <t>parental</t>
    </r>
  </si>
  <si>
    <t>Q133A</t>
  </si>
  <si>
    <t>parental NB4M</t>
  </si>
  <si>
    <t>parental NB4M 2.</t>
  </si>
  <si>
    <t>parental 49-kDa</t>
  </si>
  <si>
    <t>parental PSST</t>
  </si>
  <si>
    <t>Q133A-PSST</t>
  </si>
  <si>
    <t>CI content/HAR [%]</t>
  </si>
  <si>
    <t>F83A</t>
  </si>
  <si>
    <t>F87A</t>
  </si>
  <si>
    <t>I85A</t>
  </si>
  <si>
    <t>L447A</t>
  </si>
  <si>
    <t>P448A</t>
  </si>
  <si>
    <t>V451A</t>
  </si>
  <si>
    <t>Q137A</t>
  </si>
  <si>
    <t>HAR 1 U/mg</t>
  </si>
  <si>
    <t>HAR 2 U/mg</t>
  </si>
  <si>
    <t>DBQ 1 U/mg</t>
  </si>
  <si>
    <t>DBQ 2 U/mg</t>
  </si>
  <si>
    <t>mean</t>
  </si>
  <si>
    <t>Biological replicate 1</t>
  </si>
  <si>
    <t>Biological replicate 2</t>
  </si>
  <si>
    <t>DBQ/HAR 1</t>
  </si>
  <si>
    <t>DBQ/HAR 2</t>
  </si>
  <si>
    <t>DBQ/HAR 3</t>
  </si>
  <si>
    <t>DBQ/HAR 4</t>
  </si>
  <si>
    <t>CI activity [%]</t>
  </si>
  <si>
    <t>Mitochondrial membranes</t>
  </si>
  <si>
    <t>Calculations</t>
  </si>
  <si>
    <t>HAR 1-4</t>
  </si>
  <si>
    <t>DBQ 1-4</t>
  </si>
  <si>
    <t>mean DBQ/HAR 1-4</t>
  </si>
  <si>
    <t>HAR 1 U/mL</t>
  </si>
  <si>
    <t>HAR 2 U/mL</t>
  </si>
  <si>
    <t>DBQ 1 U/mL</t>
  </si>
  <si>
    <t>DBQ 2 U/mL</t>
  </si>
  <si>
    <t>mean U/mg</t>
  </si>
  <si>
    <t>DBQ U/mL/mg</t>
  </si>
  <si>
    <t>HAR U/mL/mg</t>
  </si>
  <si>
    <r>
      <rPr>
        <vertAlign val="superscript"/>
        <sz val="11"/>
        <color theme="1"/>
        <rFont val="Calibri"/>
        <family val="2"/>
        <scheme val="minor"/>
      </rPr>
      <t xml:space="preserve">LYRM6 </t>
    </r>
    <r>
      <rPr>
        <sz val="11"/>
        <color theme="1"/>
        <rFont val="Calibri"/>
        <family val="2"/>
        <scheme val="minor"/>
      </rPr>
      <t>parental</t>
    </r>
  </si>
  <si>
    <r>
      <rPr>
        <vertAlign val="superscript"/>
        <sz val="11"/>
        <color theme="1"/>
        <rFont val="Calibri"/>
        <family val="2"/>
        <scheme val="minor"/>
      </rPr>
      <t xml:space="preserve">LYRM6 </t>
    </r>
    <r>
      <rPr>
        <sz val="11"/>
        <color theme="1"/>
        <rFont val="Calibri"/>
        <family val="2"/>
        <scheme val="minor"/>
      </rPr>
      <t>parental 2.</t>
    </r>
  </si>
  <si>
    <t>parental GB30</t>
  </si>
  <si>
    <t>CI content / HAR [%]</t>
  </si>
  <si>
    <t>mean DBQ/CI [%]</t>
  </si>
  <si>
    <t>SD</t>
  </si>
  <si>
    <t>SD [%]</t>
  </si>
  <si>
    <t>Sd 1-4</t>
  </si>
  <si>
    <t>SD DBQ activity [%]</t>
  </si>
  <si>
    <t>SD 1-4</t>
  </si>
  <si>
    <t>sampes x and y are not part of the publication</t>
  </si>
  <si>
    <t>Coomassie-stained BN-PAGE gel</t>
  </si>
  <si>
    <t>Supplementary Table 1</t>
  </si>
  <si>
    <t>Supplementary Table 3</t>
  </si>
  <si>
    <t>Supplementary Fig.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</si>
</sst>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4" x14ac:knownFonts="1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2" fontId="0" fillId="0" borderId="0" xfId="0" applyNumberFormat="1"/>
    <xf numFmtId="1" fontId="0" fillId="0" borderId="0" xfId="0" applyNumberFormat="1"/>
    <xf numFmtId="0" fontId="0" fillId="0" borderId="0" xfId="0" applyFill="1" applyBorder="1" applyAlignment="1">
      <alignment horizontal="left"/>
    </xf>
    <xf numFmtId="1" fontId="0" fillId="0" borderId="0" xfId="0" applyNumberFormat="1" applyFill="1"/>
    <xf numFmtId="165" fontId="0" fillId="2" borderId="0" xfId="0" applyNumberForma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165" fontId="0" fillId="3" borderId="0" xfId="0" applyNumberFormat="1" applyFill="1" applyBorder="1" applyAlignment="1">
      <alignment horizontal="left"/>
    </xf>
    <xf numFmtId="2" fontId="0" fillId="2" borderId="0" xfId="0" applyNumberFormat="1" applyFill="1" applyBorder="1"/>
    <xf numFmtId="2" fontId="0" fillId="3" borderId="0" xfId="0" applyNumberFormat="1" applyFill="1" applyBorder="1"/>
    <xf numFmtId="0" fontId="0" fillId="0" borderId="0" xfId="0" applyFill="1"/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165" fontId="0" fillId="0" borderId="0" xfId="0" applyNumberFormat="1" applyAlignment="1">
      <alignment horizontal="left"/>
    </xf>
    <xf numFmtId="2" fontId="0" fillId="0" borderId="0" xfId="0" applyNumberFormat="1" applyAlignment="1">
      <alignment horizontal="left"/>
    </xf>
    <xf numFmtId="0" fontId="0" fillId="0" borderId="0" xfId="0" applyFill="1" applyAlignment="1">
      <alignment horizontal="left"/>
    </xf>
    <xf numFmtId="1" fontId="0" fillId="0" borderId="0" xfId="0" applyNumberFormat="1" applyFill="1" applyAlignment="1">
      <alignment horizontal="left"/>
    </xf>
    <xf numFmtId="165" fontId="0" fillId="0" borderId="0" xfId="0" applyNumberFormat="1" applyFill="1" applyAlignment="1">
      <alignment horizontal="left"/>
    </xf>
    <xf numFmtId="0" fontId="2" fillId="6" borderId="0" xfId="0" applyFont="1" applyFill="1"/>
    <xf numFmtId="1" fontId="2" fillId="6" borderId="0" xfId="0" applyNumberFormat="1" applyFont="1" applyFill="1"/>
    <xf numFmtId="0" fontId="0" fillId="5" borderId="0" xfId="0" applyFill="1" applyAlignment="1">
      <alignment horizontal="left"/>
    </xf>
    <xf numFmtId="1" fontId="0" fillId="5" borderId="0" xfId="0" applyNumberFormat="1" applyFill="1" applyAlignment="1">
      <alignment horizontal="left"/>
    </xf>
    <xf numFmtId="165" fontId="0" fillId="5" borderId="0" xfId="0" applyNumberFormat="1" applyFill="1" applyAlignment="1">
      <alignment horizontal="left"/>
    </xf>
    <xf numFmtId="0" fontId="0" fillId="6" borderId="0" xfId="0" applyFill="1" applyAlignment="1">
      <alignment horizontal="left"/>
    </xf>
    <xf numFmtId="0" fontId="0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4" borderId="0" xfId="0" applyFill="1" applyAlignment="1">
      <alignment horizontal="left"/>
    </xf>
    <xf numFmtId="0" fontId="0" fillId="4" borderId="0" xfId="0" applyFill="1" applyBorder="1" applyAlignment="1">
      <alignment horizontal="left"/>
    </xf>
    <xf numFmtId="0" fontId="2" fillId="4" borderId="0" xfId="0" applyFont="1" applyFill="1" applyBorder="1" applyAlignment="1">
      <alignment horizontal="left"/>
    </xf>
    <xf numFmtId="2" fontId="0" fillId="2" borderId="0" xfId="0" applyNumberFormat="1" applyFill="1" applyBorder="1" applyAlignment="1">
      <alignment horizontal="left"/>
    </xf>
    <xf numFmtId="2" fontId="0" fillId="3" borderId="0" xfId="0" applyNumberFormat="1" applyFill="1" applyBorder="1" applyAlignment="1">
      <alignment horizontal="left"/>
    </xf>
    <xf numFmtId="2" fontId="0" fillId="4" borderId="0" xfId="0" applyNumberFormat="1" applyFill="1" applyBorder="1" applyAlignment="1">
      <alignment horizontal="left"/>
    </xf>
    <xf numFmtId="165" fontId="2" fillId="4" borderId="0" xfId="0" applyNumberFormat="1" applyFont="1" applyFill="1" applyBorder="1" applyAlignment="1">
      <alignment horizontal="left"/>
    </xf>
    <xf numFmtId="0" fontId="0" fillId="2" borderId="0" xfId="0" applyFill="1" applyAlignment="1">
      <alignment horizontal="left"/>
    </xf>
    <xf numFmtId="0" fontId="2" fillId="5" borderId="0" xfId="0" applyFont="1" applyFill="1" applyAlignment="1">
      <alignment horizontal="left"/>
    </xf>
    <xf numFmtId="2" fontId="0" fillId="2" borderId="0" xfId="0" applyNumberFormat="1" applyFill="1" applyAlignment="1">
      <alignment horizontal="left"/>
    </xf>
    <xf numFmtId="1" fontId="0" fillId="2" borderId="0" xfId="0" applyNumberFormat="1" applyFill="1" applyAlignment="1">
      <alignment horizontal="left"/>
    </xf>
    <xf numFmtId="1" fontId="2" fillId="5" borderId="0" xfId="0" applyNumberFormat="1" applyFont="1" applyFill="1" applyAlignment="1">
      <alignment horizontal="left"/>
    </xf>
    <xf numFmtId="2" fontId="0" fillId="2" borderId="0" xfId="0" applyNumberFormat="1" applyFill="1" applyAlignment="1">
      <alignment horizontal="right"/>
    </xf>
    <xf numFmtId="165" fontId="0" fillId="2" borderId="0" xfId="0" applyNumberFormat="1" applyFill="1" applyAlignment="1">
      <alignment horizontal="left"/>
    </xf>
    <xf numFmtId="2" fontId="0" fillId="3" borderId="0" xfId="0" applyNumberFormat="1" applyFill="1" applyAlignment="1">
      <alignment horizontal="right"/>
    </xf>
    <xf numFmtId="165" fontId="0" fillId="3" borderId="0" xfId="0" applyNumberFormat="1" applyFill="1" applyAlignment="1">
      <alignment horizontal="left"/>
    </xf>
    <xf numFmtId="0" fontId="0" fillId="3" borderId="0" xfId="0" applyFill="1" applyAlignment="1">
      <alignment horizontal="left"/>
    </xf>
    <xf numFmtId="2" fontId="0" fillId="0" borderId="0" xfId="0" applyNumberFormat="1" applyFill="1"/>
    <xf numFmtId="2" fontId="0" fillId="6" borderId="0" xfId="0" applyNumberFormat="1" applyFill="1" applyAlignment="1">
      <alignment horizontal="right"/>
    </xf>
    <xf numFmtId="165" fontId="3" fillId="6" borderId="0" xfId="0" applyNumberFormat="1" applyFont="1" applyFill="1" applyAlignment="1">
      <alignment horizontal="right"/>
    </xf>
    <xf numFmtId="0" fontId="0" fillId="6" borderId="0" xfId="0" applyFill="1" applyBorder="1" applyAlignment="1">
      <alignment horizontal="left"/>
    </xf>
    <xf numFmtId="0" fontId="2" fillId="6" borderId="0" xfId="0" applyFont="1" applyFill="1" applyBorder="1" applyAlignment="1">
      <alignment horizontal="left"/>
    </xf>
    <xf numFmtId="2" fontId="0" fillId="6" borderId="0" xfId="0" applyNumberFormat="1" applyFill="1" applyBorder="1"/>
    <xf numFmtId="165" fontId="2" fillId="6" borderId="0" xfId="0" applyNumberFormat="1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6</xdr:col>
      <xdr:colOff>79375</xdr:colOff>
      <xdr:row>16</xdr:row>
      <xdr:rowOff>56515</xdr:rowOff>
    </xdr:to>
    <xdr:pic>
      <xdr:nvPicPr>
        <xdr:cNvPr id="2" name="Grafik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368300"/>
          <a:ext cx="3889375" cy="24504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4"/>
  <sheetViews>
    <sheetView tabSelected="1" zoomScale="60" zoomScaleNormal="60" workbookViewId="0">
      <selection activeCell="C1" sqref="C1"/>
    </sheetView>
  </sheetViews>
  <sheetFormatPr baseColWidth="10" defaultColWidth="11" defaultRowHeight="14.5" x14ac:dyDescent="0.35"/>
  <cols>
    <col min="1" max="1" width="17.36328125" style="13" customWidth="1"/>
    <col min="2" max="2" width="13.7265625" style="13" customWidth="1"/>
    <col min="3" max="3" width="19.6328125" style="13" customWidth="1"/>
    <col min="4" max="4" width="18.1796875" style="13" customWidth="1"/>
    <col min="5" max="5" width="14.36328125" style="13" customWidth="1"/>
    <col min="6" max="6" width="14.08984375" style="13" customWidth="1"/>
    <col min="7" max="7" width="14.90625" style="13" customWidth="1"/>
    <col min="8" max="8" width="14.26953125" style="13" customWidth="1"/>
    <col min="9" max="9" width="13.453125" style="13" customWidth="1"/>
    <col min="10" max="10" width="16.7265625" style="13" customWidth="1"/>
    <col min="11" max="11" width="18.90625" style="13" customWidth="1"/>
    <col min="12" max="12" width="20.08984375" style="13" customWidth="1"/>
    <col min="13" max="13" width="14.453125" style="13" customWidth="1"/>
    <col min="14" max="14" width="12.90625" style="13" customWidth="1"/>
    <col min="15" max="15" width="12" style="13" customWidth="1"/>
    <col min="16" max="16" width="16.08984375" style="13" customWidth="1"/>
    <col min="17" max="17" width="18.7265625" style="13" customWidth="1"/>
    <col min="18" max="18" width="16" style="13" customWidth="1"/>
    <col min="19" max="19" width="18.6328125" style="13" customWidth="1"/>
    <col min="20" max="20" width="16.36328125" style="13" customWidth="1"/>
    <col min="21" max="21" width="15.26953125" style="13" customWidth="1"/>
    <col min="22" max="22" width="16.08984375" style="13" customWidth="1"/>
    <col min="23" max="23" width="16" style="13" customWidth="1"/>
    <col min="24" max="24" width="17.453125" style="13" customWidth="1"/>
    <col min="25" max="25" width="15.453125" style="13" customWidth="1"/>
    <col min="26" max="27" width="16.08984375" style="13" customWidth="1"/>
    <col min="28" max="28" width="17.26953125" style="13" customWidth="1"/>
    <col min="29" max="29" width="13.6328125" style="13" customWidth="1"/>
    <col min="30" max="30" width="12.08984375" style="13" customWidth="1"/>
    <col min="31" max="31" width="15.7265625" style="13" customWidth="1"/>
    <col min="32" max="32" width="13" style="13" customWidth="1"/>
    <col min="33" max="34" width="11" style="13"/>
    <col min="35" max="35" width="14" style="13" customWidth="1"/>
    <col min="36" max="16384" width="11" style="13"/>
  </cols>
  <sheetData>
    <row r="1" spans="1:31" x14ac:dyDescent="0.35">
      <c r="A1" s="27" t="s">
        <v>69</v>
      </c>
    </row>
    <row r="2" spans="1:31" x14ac:dyDescent="0.35">
      <c r="A2" s="13" t="s">
        <v>45</v>
      </c>
    </row>
    <row r="4" spans="1:31" x14ac:dyDescent="0.35">
      <c r="B4" s="26" t="s">
        <v>38</v>
      </c>
      <c r="J4" s="17"/>
      <c r="K4" s="26" t="s">
        <v>39</v>
      </c>
      <c r="S4" s="27" t="s">
        <v>46</v>
      </c>
      <c r="T4" s="13" t="s">
        <v>54</v>
      </c>
      <c r="V4" s="13" t="s">
        <v>54</v>
      </c>
      <c r="W4" s="13" t="s">
        <v>37</v>
      </c>
      <c r="X4" s="28"/>
      <c r="Y4" s="28"/>
      <c r="Z4" s="28"/>
      <c r="AA4" s="28"/>
      <c r="AB4" s="28" t="s">
        <v>37</v>
      </c>
      <c r="AC4" s="28" t="s">
        <v>37</v>
      </c>
      <c r="AD4" s="28"/>
      <c r="AE4" s="28"/>
    </row>
    <row r="5" spans="1:31" x14ac:dyDescent="0.35">
      <c r="A5" s="6"/>
      <c r="B5" s="7" t="s">
        <v>50</v>
      </c>
      <c r="C5" s="7" t="s">
        <v>51</v>
      </c>
      <c r="D5" s="8" t="s">
        <v>52</v>
      </c>
      <c r="E5" s="8" t="s">
        <v>53</v>
      </c>
      <c r="F5" s="7" t="s">
        <v>33</v>
      </c>
      <c r="G5" s="7" t="s">
        <v>34</v>
      </c>
      <c r="H5" s="8" t="s">
        <v>35</v>
      </c>
      <c r="I5" s="8" t="s">
        <v>36</v>
      </c>
      <c r="J5" s="3"/>
      <c r="K5" s="7" t="s">
        <v>50</v>
      </c>
      <c r="L5" s="7" t="s">
        <v>51</v>
      </c>
      <c r="M5" s="8" t="s">
        <v>52</v>
      </c>
      <c r="N5" s="8" t="s">
        <v>53</v>
      </c>
      <c r="O5" s="7" t="s">
        <v>33</v>
      </c>
      <c r="P5" s="7" t="s">
        <v>34</v>
      </c>
      <c r="Q5" s="8" t="s">
        <v>35</v>
      </c>
      <c r="R5" s="8" t="s">
        <v>36</v>
      </c>
      <c r="S5" s="6"/>
      <c r="T5" s="7" t="s">
        <v>47</v>
      </c>
      <c r="U5" s="7" t="s">
        <v>62</v>
      </c>
      <c r="V5" s="8" t="s">
        <v>48</v>
      </c>
      <c r="W5" s="8" t="s">
        <v>62</v>
      </c>
      <c r="X5" s="29" t="s">
        <v>40</v>
      </c>
      <c r="Y5" s="29" t="s">
        <v>41</v>
      </c>
      <c r="Z5" s="29" t="s">
        <v>42</v>
      </c>
      <c r="AA5" s="29" t="s">
        <v>43</v>
      </c>
      <c r="AB5" s="29" t="s">
        <v>2</v>
      </c>
      <c r="AC5" s="29" t="s">
        <v>62</v>
      </c>
      <c r="AD5" s="30" t="s">
        <v>44</v>
      </c>
      <c r="AE5" s="30" t="s">
        <v>63</v>
      </c>
    </row>
    <row r="6" spans="1:31" ht="16.5" x14ac:dyDescent="0.35">
      <c r="A6" s="3" t="s">
        <v>57</v>
      </c>
      <c r="B6" s="5">
        <v>33.51</v>
      </c>
      <c r="C6" s="5">
        <v>34.200000000000003</v>
      </c>
      <c r="D6" s="9">
        <v>19.100000000000001</v>
      </c>
      <c r="E6" s="9">
        <v>19.87</v>
      </c>
      <c r="F6" s="31">
        <v>0.75134529147982054</v>
      </c>
      <c r="G6" s="31">
        <v>0.76681614349775784</v>
      </c>
      <c r="H6" s="32">
        <v>0.4282511210762332</v>
      </c>
      <c r="I6" s="32">
        <v>0.44551569506726457</v>
      </c>
      <c r="J6" s="3" t="s">
        <v>57</v>
      </c>
      <c r="K6" s="5">
        <v>46.599499999999999</v>
      </c>
      <c r="L6" s="5">
        <v>47.662300000000002</v>
      </c>
      <c r="M6" s="9">
        <v>19.456099999999999</v>
      </c>
      <c r="N6" s="9">
        <v>20.262166666666666</v>
      </c>
      <c r="O6" s="31">
        <v>1.320099150141643</v>
      </c>
      <c r="P6" s="31">
        <v>1.3502067988668558</v>
      </c>
      <c r="Q6" s="32">
        <v>0.55116430594900856</v>
      </c>
      <c r="R6" s="32">
        <v>0.57399905571293675</v>
      </c>
      <c r="S6" s="3" t="s">
        <v>20</v>
      </c>
      <c r="T6" s="31">
        <v>1.0471168459965194</v>
      </c>
      <c r="U6" s="31">
        <v>0.33288243880277341</v>
      </c>
      <c r="V6" s="32">
        <v>0.49973254445136073</v>
      </c>
      <c r="W6" s="32">
        <v>7.3506919018073671E-2</v>
      </c>
      <c r="X6" s="33">
        <v>0.56997911071322005</v>
      </c>
      <c r="Y6" s="33">
        <v>0.59295732617129226</v>
      </c>
      <c r="Z6" s="33">
        <v>0.4175173553364307</v>
      </c>
      <c r="AA6" s="33">
        <v>0.42511936408160461</v>
      </c>
      <c r="AB6" s="33">
        <v>0.50139328907563685</v>
      </c>
      <c r="AC6" s="33">
        <v>9.2989016759285545E-2</v>
      </c>
      <c r="AD6" s="30">
        <v>100</v>
      </c>
      <c r="AE6" s="34">
        <v>18.59780335185711</v>
      </c>
    </row>
    <row r="7" spans="1:31" x14ac:dyDescent="0.35">
      <c r="A7" s="3" t="s">
        <v>8</v>
      </c>
      <c r="B7" s="5">
        <v>45.15</v>
      </c>
      <c r="C7" s="5">
        <v>45.95</v>
      </c>
      <c r="D7" s="9">
        <v>5.16</v>
      </c>
      <c r="E7" s="9">
        <v>6.6300000000000008</v>
      </c>
      <c r="F7" s="31">
        <v>0.93672199170124471</v>
      </c>
      <c r="G7" s="31">
        <v>0.95331950207468885</v>
      </c>
      <c r="H7" s="32">
        <v>0.10705394190871369</v>
      </c>
      <c r="I7" s="32">
        <v>0.13755186721991702</v>
      </c>
      <c r="J7" s="3" t="s">
        <v>8</v>
      </c>
      <c r="K7" s="5">
        <v>45.232799999999997</v>
      </c>
      <c r="L7" s="5">
        <v>44.763599999999997</v>
      </c>
      <c r="M7" s="9">
        <v>5.9196999999999997</v>
      </c>
      <c r="N7" s="9">
        <v>5.9307499999999997</v>
      </c>
      <c r="O7" s="31">
        <v>1.1966349206349207</v>
      </c>
      <c r="P7" s="31">
        <v>1.1842222222222223</v>
      </c>
      <c r="Q7" s="32">
        <v>0.15660582010582011</v>
      </c>
      <c r="R7" s="32">
        <v>0.15689814814814815</v>
      </c>
      <c r="S7" s="3" t="s">
        <v>8</v>
      </c>
      <c r="T7" s="31">
        <v>1.0677246591582692</v>
      </c>
      <c r="U7" s="31">
        <v>0.14193869165005865</v>
      </c>
      <c r="V7" s="32">
        <v>0.13952744434564976</v>
      </c>
      <c r="W7" s="32">
        <v>2.3465176572253495E-2</v>
      </c>
      <c r="X7" s="33">
        <v>0.1142857142857143</v>
      </c>
      <c r="Y7" s="33">
        <v>0.14684385382059803</v>
      </c>
      <c r="Z7" s="33">
        <v>0.13087184520967085</v>
      </c>
      <c r="AA7" s="33">
        <v>0.13249046099956213</v>
      </c>
      <c r="AB7" s="33">
        <v>0.13112296857888633</v>
      </c>
      <c r="AC7" s="33">
        <v>1.332381906440718E-2</v>
      </c>
      <c r="AD7" s="34">
        <v>26.224593715777267</v>
      </c>
      <c r="AE7" s="34">
        <v>2.6647638128814362</v>
      </c>
    </row>
    <row r="8" spans="1:31" x14ac:dyDescent="0.35">
      <c r="A8" s="3" t="s">
        <v>3</v>
      </c>
      <c r="B8" s="5">
        <v>46.07</v>
      </c>
      <c r="C8" s="5">
        <v>46.65</v>
      </c>
      <c r="D8" s="9">
        <v>5.83</v>
      </c>
      <c r="E8" s="9">
        <v>6.8400000000000007</v>
      </c>
      <c r="F8" s="31">
        <v>0.96380753138075315</v>
      </c>
      <c r="G8" s="31">
        <v>0.97594142259414229</v>
      </c>
      <c r="H8" s="32">
        <v>0.12196652719665273</v>
      </c>
      <c r="I8" s="32">
        <v>0.14309623430962345</v>
      </c>
      <c r="J8" s="3" t="s">
        <v>3</v>
      </c>
      <c r="K8" s="5">
        <v>47.662799999999997</v>
      </c>
      <c r="L8" s="5">
        <v>47.841500000000003</v>
      </c>
      <c r="M8" s="9">
        <v>4.4745999999999997</v>
      </c>
      <c r="N8" s="9">
        <v>4.8522499999999997</v>
      </c>
      <c r="O8" s="31">
        <v>1.2477172774869107</v>
      </c>
      <c r="P8" s="31">
        <v>1.2523952879581153</v>
      </c>
      <c r="Q8" s="32">
        <v>0.11713612565445025</v>
      </c>
      <c r="R8" s="32">
        <v>0.12702225130890052</v>
      </c>
      <c r="S8" s="3" t="s">
        <v>3</v>
      </c>
      <c r="T8" s="31">
        <v>1.1099653798549802</v>
      </c>
      <c r="U8" s="31">
        <v>0.1618501383110689</v>
      </c>
      <c r="V8" s="32">
        <v>0.12730528461740673</v>
      </c>
      <c r="W8" s="32">
        <v>1.127457796471598E-2</v>
      </c>
      <c r="X8" s="33">
        <v>0.1265465595832429</v>
      </c>
      <c r="Y8" s="33">
        <v>0.14846971999131758</v>
      </c>
      <c r="Z8" s="33">
        <v>9.3880342741089501E-2</v>
      </c>
      <c r="AA8" s="33">
        <v>0.10142345035168211</v>
      </c>
      <c r="AB8" s="33">
        <v>0.11758001816683303</v>
      </c>
      <c r="AC8" s="33">
        <v>2.4881598572900638E-2</v>
      </c>
      <c r="AD8" s="34">
        <v>23.516003633366605</v>
      </c>
      <c r="AE8" s="34">
        <v>4.9763197145801277</v>
      </c>
    </row>
    <row r="9" spans="1:31" x14ac:dyDescent="0.35">
      <c r="A9" s="3" t="s">
        <v>4</v>
      </c>
      <c r="B9" s="5">
        <v>43.16</v>
      </c>
      <c r="C9" s="5">
        <v>44.32</v>
      </c>
      <c r="D9" s="9">
        <v>3.28</v>
      </c>
      <c r="E9" s="9">
        <v>2.54</v>
      </c>
      <c r="F9" s="31">
        <v>0.90292887029288704</v>
      </c>
      <c r="G9" s="31">
        <v>0.92719665271966534</v>
      </c>
      <c r="H9" s="32">
        <v>6.8619246861924679E-2</v>
      </c>
      <c r="I9" s="32">
        <v>5.3138075313807535E-2</v>
      </c>
      <c r="J9" s="3" t="s">
        <v>4</v>
      </c>
      <c r="K9" s="5">
        <v>46.899900000000002</v>
      </c>
      <c r="L9" s="5">
        <v>46.596200000000003</v>
      </c>
      <c r="M9" s="9">
        <v>3.1557000000000004</v>
      </c>
      <c r="N9" s="9">
        <v>3.7539500000000001</v>
      </c>
      <c r="O9" s="31">
        <v>1.1495073529411766</v>
      </c>
      <c r="P9" s="31">
        <v>1.1420637254901962</v>
      </c>
      <c r="Q9" s="32">
        <v>7.7345588235294138E-2</v>
      </c>
      <c r="R9" s="32">
        <v>9.2008578431372556E-2</v>
      </c>
      <c r="S9" s="3" t="s">
        <v>4</v>
      </c>
      <c r="T9" s="31">
        <v>1.0304241503609812</v>
      </c>
      <c r="U9" s="31">
        <v>0.13361033715088358</v>
      </c>
      <c r="V9" s="32">
        <v>7.2777872210599726E-2</v>
      </c>
      <c r="W9" s="32">
        <v>1.6265504176731532E-2</v>
      </c>
      <c r="X9" s="33">
        <v>7.5996292863762735E-2</v>
      </c>
      <c r="Y9" s="33">
        <v>5.8850787766450419E-2</v>
      </c>
      <c r="Z9" s="33">
        <v>6.7285857752361955E-2</v>
      </c>
      <c r="AA9" s="33">
        <v>8.0563436503405861E-2</v>
      </c>
      <c r="AB9" s="33">
        <v>7.0674093721495246E-2</v>
      </c>
      <c r="AC9" s="33">
        <v>9.6158828864402694E-3</v>
      </c>
      <c r="AD9" s="34">
        <v>14.13481874429905</v>
      </c>
      <c r="AE9" s="34">
        <v>1.9231765772880538</v>
      </c>
    </row>
    <row r="10" spans="1:31" x14ac:dyDescent="0.35">
      <c r="A10" s="3" t="s">
        <v>9</v>
      </c>
      <c r="B10" s="5">
        <v>50.07</v>
      </c>
      <c r="C10" s="5">
        <v>51.28</v>
      </c>
      <c r="D10" s="9">
        <v>8.34</v>
      </c>
      <c r="E10" s="9">
        <v>6.6800000000000006</v>
      </c>
      <c r="F10" s="31">
        <v>0.94650283553875236</v>
      </c>
      <c r="G10" s="31">
        <v>0.96937618147448024</v>
      </c>
      <c r="H10" s="32">
        <v>0.15765595463137996</v>
      </c>
      <c r="I10" s="32">
        <v>0.12627599243856333</v>
      </c>
      <c r="J10" s="3" t="s">
        <v>9</v>
      </c>
      <c r="K10" s="5">
        <v>57.716299999999997</v>
      </c>
      <c r="L10" s="5">
        <v>57.123399999999997</v>
      </c>
      <c r="M10" s="9">
        <v>9.4981000000000009</v>
      </c>
      <c r="N10" s="9">
        <v>10.471800000000002</v>
      </c>
      <c r="O10" s="31">
        <v>1.5391013333333332</v>
      </c>
      <c r="P10" s="31">
        <v>1.5232906666666666</v>
      </c>
      <c r="Q10" s="32">
        <v>0.25328266666666671</v>
      </c>
      <c r="R10" s="32">
        <v>0.27924800000000005</v>
      </c>
      <c r="S10" s="3" t="s">
        <v>9</v>
      </c>
      <c r="T10" s="31">
        <v>1.2445677542533082</v>
      </c>
      <c r="U10" s="31">
        <v>0.33116440459217633</v>
      </c>
      <c r="V10" s="32">
        <v>0.20411565343415253</v>
      </c>
      <c r="W10" s="32">
        <v>7.3665417321493551E-2</v>
      </c>
      <c r="X10" s="33">
        <v>0.16656680647094069</v>
      </c>
      <c r="Y10" s="33">
        <v>0.13341322148991411</v>
      </c>
      <c r="Z10" s="33">
        <v>0.16456529611219017</v>
      </c>
      <c r="AA10" s="33">
        <v>0.18331892009229148</v>
      </c>
      <c r="AB10" s="33">
        <v>0.1619660610413341</v>
      </c>
      <c r="AC10" s="33">
        <v>2.0809710213910579E-2</v>
      </c>
      <c r="AD10" s="34">
        <v>32.393212208266817</v>
      </c>
      <c r="AE10" s="34">
        <v>4.1619420427821154</v>
      </c>
    </row>
    <row r="11" spans="1:31" x14ac:dyDescent="0.35">
      <c r="A11" s="3" t="s">
        <v>10</v>
      </c>
      <c r="B11" s="5">
        <v>48.88</v>
      </c>
      <c r="C11" s="5">
        <v>49.32</v>
      </c>
      <c r="D11" s="9">
        <v>5.9300000000000006</v>
      </c>
      <c r="E11" s="9">
        <v>6.9700000000000006</v>
      </c>
      <c r="F11" s="31">
        <v>0.90686456400742121</v>
      </c>
      <c r="G11" s="31">
        <v>0.91502782931354365</v>
      </c>
      <c r="H11" s="32">
        <v>0.11001855287569574</v>
      </c>
      <c r="I11" s="32">
        <v>0.1293135435992579</v>
      </c>
      <c r="J11" s="3" t="s">
        <v>10</v>
      </c>
      <c r="K11" s="5">
        <v>49.870600000000003</v>
      </c>
      <c r="L11" s="5">
        <v>49.269199999999998</v>
      </c>
      <c r="M11" s="9">
        <v>7.2298</v>
      </c>
      <c r="N11" s="9">
        <v>7.2688500000000005</v>
      </c>
      <c r="O11" s="31">
        <v>1.1988125000000001</v>
      </c>
      <c r="P11" s="31">
        <v>1.1843557692307691</v>
      </c>
      <c r="Q11" s="32">
        <v>0.17379326923076924</v>
      </c>
      <c r="R11" s="32">
        <v>0.17473197115384617</v>
      </c>
      <c r="S11" s="3" t="s">
        <v>10</v>
      </c>
      <c r="T11" s="31">
        <v>1.0512651656379335</v>
      </c>
      <c r="U11" s="31">
        <v>0.1621680920136836</v>
      </c>
      <c r="V11" s="32">
        <v>0.14696433421489227</v>
      </c>
      <c r="W11" s="32">
        <v>3.2492945815876133E-2</v>
      </c>
      <c r="X11" s="33">
        <v>0.12131751227495909</v>
      </c>
      <c r="Y11" s="33">
        <v>0.14259410801963993</v>
      </c>
      <c r="Z11" s="33">
        <v>0.14497118542788737</v>
      </c>
      <c r="AA11" s="33">
        <v>0.14753334740568147</v>
      </c>
      <c r="AB11" s="33">
        <v>0.13910403828204196</v>
      </c>
      <c r="AC11" s="33">
        <v>1.2027991826108612E-2</v>
      </c>
      <c r="AD11" s="34">
        <v>27.820807656408391</v>
      </c>
      <c r="AE11" s="34">
        <v>2.4055983652217225</v>
      </c>
    </row>
    <row r="12" spans="1:31" x14ac:dyDescent="0.35">
      <c r="A12" s="3" t="s">
        <v>5</v>
      </c>
      <c r="B12" s="5">
        <v>44.81</v>
      </c>
      <c r="C12" s="5">
        <v>42.57</v>
      </c>
      <c r="D12" s="9">
        <v>3.6</v>
      </c>
      <c r="E12" s="9">
        <v>3.03</v>
      </c>
      <c r="F12" s="31">
        <v>0.87519531250000004</v>
      </c>
      <c r="G12" s="31">
        <v>0.83144531249999998</v>
      </c>
      <c r="H12" s="32">
        <v>7.03125E-2</v>
      </c>
      <c r="I12" s="32">
        <v>5.9179687499999994E-2</v>
      </c>
      <c r="J12" s="3" t="s">
        <v>5</v>
      </c>
      <c r="K12" s="5">
        <v>45.847499999999997</v>
      </c>
      <c r="L12" s="5">
        <v>48.259599999999999</v>
      </c>
      <c r="M12" s="9">
        <v>3.0058999999999996</v>
      </c>
      <c r="N12" s="9">
        <v>3.2040999999999999</v>
      </c>
      <c r="O12" s="31">
        <v>1.2033464566929133</v>
      </c>
      <c r="P12" s="31">
        <v>1.2666561679790025</v>
      </c>
      <c r="Q12" s="32">
        <v>7.8895013123359573E-2</v>
      </c>
      <c r="R12" s="32">
        <v>8.4097112860892387E-2</v>
      </c>
      <c r="S12" s="3" t="s">
        <v>5</v>
      </c>
      <c r="T12" s="31">
        <v>1.0441608124179789</v>
      </c>
      <c r="U12" s="31">
        <v>0.22259191109692314</v>
      </c>
      <c r="V12" s="32">
        <v>7.3121078371062992E-2</v>
      </c>
      <c r="W12" s="32">
        <v>1.0894373892547458E-2</v>
      </c>
      <c r="X12" s="33">
        <v>8.0339209997768349E-2</v>
      </c>
      <c r="Y12" s="33">
        <v>6.7618835081455025E-2</v>
      </c>
      <c r="Z12" s="33">
        <v>6.5563007797589834E-2</v>
      </c>
      <c r="AA12" s="33">
        <v>6.6393007816061472E-2</v>
      </c>
      <c r="AB12" s="33">
        <v>6.9978515173218681E-2</v>
      </c>
      <c r="AC12" s="33">
        <v>6.9585596156910047E-3</v>
      </c>
      <c r="AD12" s="34">
        <v>13.995703034643736</v>
      </c>
      <c r="AE12" s="34">
        <v>1.3917119231382009</v>
      </c>
    </row>
    <row r="13" spans="1:31" ht="16.5" x14ac:dyDescent="0.35">
      <c r="A13" s="3" t="s">
        <v>58</v>
      </c>
      <c r="B13" s="5">
        <v>39.26</v>
      </c>
      <c r="C13" s="5">
        <v>37.06</v>
      </c>
      <c r="D13" s="9">
        <v>21.16</v>
      </c>
      <c r="E13" s="9">
        <v>18.72</v>
      </c>
      <c r="F13" s="31">
        <v>1.3299457994579946</v>
      </c>
      <c r="G13" s="31">
        <v>1.255420054200542</v>
      </c>
      <c r="H13" s="32">
        <v>0.71680216802168029</v>
      </c>
      <c r="I13" s="32">
        <v>0.63414634146341464</v>
      </c>
      <c r="J13" s="3" t="s">
        <v>58</v>
      </c>
      <c r="K13" s="5">
        <v>52.262799999999999</v>
      </c>
      <c r="L13" s="5">
        <v>52.958199999999998</v>
      </c>
      <c r="M13" s="9">
        <v>24.203300000000002</v>
      </c>
      <c r="N13" s="9">
        <v>24.0566</v>
      </c>
      <c r="O13" s="31">
        <v>1.2326132075471699</v>
      </c>
      <c r="P13" s="31">
        <v>1.2490141509433963</v>
      </c>
      <c r="Q13" s="32">
        <v>0.57083254716981136</v>
      </c>
      <c r="R13" s="32">
        <v>0.56737264150943401</v>
      </c>
      <c r="S13" s="3" t="s">
        <v>21</v>
      </c>
      <c r="T13" s="31">
        <v>1.2667483030372757</v>
      </c>
      <c r="U13" s="31">
        <v>4.3212489206097313E-2</v>
      </c>
      <c r="V13" s="32">
        <v>0.62228842454108513</v>
      </c>
      <c r="W13" s="32">
        <v>7.0087822153066304E-2</v>
      </c>
      <c r="X13" s="33">
        <v>0.5389709628120225</v>
      </c>
      <c r="Y13" s="33">
        <v>0.47682119205298013</v>
      </c>
      <c r="Z13" s="33">
        <v>0.46310760234813292</v>
      </c>
      <c r="AA13" s="33">
        <v>0.45425637578316486</v>
      </c>
      <c r="AB13" s="33">
        <v>0.48328903324907507</v>
      </c>
      <c r="AC13" s="33">
        <v>3.826441167426689E-2</v>
      </c>
      <c r="AD13" s="34">
        <v>96.657806649815015</v>
      </c>
      <c r="AE13" s="34">
        <v>7.9717524321389357</v>
      </c>
    </row>
    <row r="14" spans="1:31" x14ac:dyDescent="0.35">
      <c r="A14" s="3" t="s">
        <v>11</v>
      </c>
      <c r="B14" s="5">
        <v>46.83</v>
      </c>
      <c r="C14" s="5">
        <v>47</v>
      </c>
      <c r="D14" s="9">
        <v>7.48</v>
      </c>
      <c r="E14" s="9">
        <v>7.53</v>
      </c>
      <c r="F14" s="31">
        <v>1.1976982097186699</v>
      </c>
      <c r="G14" s="31">
        <v>1.2020460358056266</v>
      </c>
      <c r="H14" s="32">
        <v>0.19130434782608696</v>
      </c>
      <c r="I14" s="32">
        <v>0.19258312020460358</v>
      </c>
      <c r="J14" s="3" t="s">
        <v>11</v>
      </c>
      <c r="K14" s="5">
        <v>50.774900000000002</v>
      </c>
      <c r="L14" s="5">
        <v>49.384</v>
      </c>
      <c r="M14" s="9">
        <v>8.1152999999999995</v>
      </c>
      <c r="N14" s="9">
        <v>8.1057500000000005</v>
      </c>
      <c r="O14" s="31">
        <v>1.2147105263157896</v>
      </c>
      <c r="P14" s="31">
        <v>1.1814354066985646</v>
      </c>
      <c r="Q14" s="32">
        <v>0.19414593301435407</v>
      </c>
      <c r="R14" s="32">
        <v>0.19391746411483257</v>
      </c>
      <c r="S14" s="3" t="s">
        <v>11</v>
      </c>
      <c r="T14" s="31">
        <v>1.1989725446346626</v>
      </c>
      <c r="U14" s="31">
        <v>1.3739305560341921E-2</v>
      </c>
      <c r="V14" s="32">
        <v>0.19298771628996927</v>
      </c>
      <c r="W14" s="32">
        <v>1.3169819507709546E-3</v>
      </c>
      <c r="X14" s="33">
        <v>0.15972667093743328</v>
      </c>
      <c r="Y14" s="33">
        <v>0.16079436258808458</v>
      </c>
      <c r="Z14" s="33">
        <v>0.15982897061343301</v>
      </c>
      <c r="AA14" s="33">
        <v>0.16413716993358177</v>
      </c>
      <c r="AB14" s="33">
        <v>0.16112179351813316</v>
      </c>
      <c r="AC14" s="33">
        <v>2.0669997596268344E-3</v>
      </c>
      <c r="AD14" s="34">
        <v>32.224358703626635</v>
      </c>
      <c r="AE14" s="34">
        <v>0.41339995192536688</v>
      </c>
    </row>
    <row r="15" spans="1:31" x14ac:dyDescent="0.35">
      <c r="A15" s="3" t="s">
        <v>12</v>
      </c>
      <c r="B15" s="5">
        <v>49.88</v>
      </c>
      <c r="C15" s="5">
        <v>50.17</v>
      </c>
      <c r="D15" s="9">
        <v>18.64</v>
      </c>
      <c r="E15" s="9">
        <v>20.12</v>
      </c>
      <c r="F15" s="31">
        <v>1.1819905213270141</v>
      </c>
      <c r="G15" s="31">
        <v>1.1888625592417061</v>
      </c>
      <c r="H15" s="32">
        <v>0.44170616113744077</v>
      </c>
      <c r="I15" s="32">
        <v>0.47677725118483411</v>
      </c>
      <c r="J15" s="3" t="s">
        <v>12</v>
      </c>
      <c r="K15" s="5">
        <v>49.264099999999999</v>
      </c>
      <c r="L15" s="5">
        <v>48.926299999999998</v>
      </c>
      <c r="M15" s="9">
        <v>19.291600000000003</v>
      </c>
      <c r="N15" s="9">
        <v>19.344999999999999</v>
      </c>
      <c r="O15" s="31">
        <v>1.2896361256544502</v>
      </c>
      <c r="P15" s="31">
        <v>1.2807931937172774</v>
      </c>
      <c r="Q15" s="32">
        <v>0.50501570680628272</v>
      </c>
      <c r="R15" s="32">
        <v>0.50641361256544493</v>
      </c>
      <c r="S15" s="3" t="s">
        <v>12</v>
      </c>
      <c r="T15" s="31">
        <v>1.235320599985112</v>
      </c>
      <c r="U15" s="31">
        <v>5.7793828819525848E-2</v>
      </c>
      <c r="V15" s="32">
        <v>0.48247818292350064</v>
      </c>
      <c r="W15" s="32">
        <v>3.0417665690205497E-2</v>
      </c>
      <c r="X15" s="33">
        <v>0.37369687249398559</v>
      </c>
      <c r="Y15" s="33">
        <v>0.40336808340016039</v>
      </c>
      <c r="Z15" s="33">
        <v>0.39159550260737536</v>
      </c>
      <c r="AA15" s="33">
        <v>0.39539061813380527</v>
      </c>
      <c r="AB15" s="33">
        <v>0.39101276915883165</v>
      </c>
      <c r="AC15" s="33">
        <v>1.2543247947658759E-2</v>
      </c>
      <c r="AD15" s="34">
        <v>78.202553831766323</v>
      </c>
      <c r="AE15" s="34">
        <v>2.508649589531752</v>
      </c>
    </row>
    <row r="16" spans="1:31" x14ac:dyDescent="0.35">
      <c r="A16" s="3" t="s">
        <v>13</v>
      </c>
      <c r="B16" s="5">
        <v>51.05</v>
      </c>
      <c r="C16" s="5">
        <v>49.46</v>
      </c>
      <c r="D16" s="9">
        <v>7.7299999999999995</v>
      </c>
      <c r="E16" s="9">
        <v>10.040000000000001</v>
      </c>
      <c r="F16" s="31">
        <v>1.2826633165829147</v>
      </c>
      <c r="G16" s="31">
        <v>1.2427135678391961</v>
      </c>
      <c r="H16" s="32">
        <v>0.19422110552763819</v>
      </c>
      <c r="I16" s="32">
        <v>0.25226130653266338</v>
      </c>
      <c r="J16" s="3" t="s">
        <v>13</v>
      </c>
      <c r="K16" s="5">
        <v>51.868200000000002</v>
      </c>
      <c r="L16" s="5">
        <v>48.575099999999999</v>
      </c>
      <c r="M16" s="9">
        <v>10.348100000000001</v>
      </c>
      <c r="N16" s="9">
        <v>9.6891500000000015</v>
      </c>
      <c r="O16" s="31">
        <v>1.1869153318077803</v>
      </c>
      <c r="P16" s="31">
        <v>1.1115583524027459</v>
      </c>
      <c r="Q16" s="32">
        <v>0.23679862700228832</v>
      </c>
      <c r="R16" s="32">
        <v>0.22171967963386729</v>
      </c>
      <c r="S16" s="3" t="s">
        <v>13</v>
      </c>
      <c r="T16" s="31">
        <v>1.2059626421581593</v>
      </c>
      <c r="U16" s="31">
        <v>7.4181295826358434E-2</v>
      </c>
      <c r="V16" s="32">
        <v>0.22625017967411429</v>
      </c>
      <c r="W16" s="32">
        <v>2.4726743165932284E-2</v>
      </c>
      <c r="X16" s="33">
        <v>0.15142017629774729</v>
      </c>
      <c r="Y16" s="33">
        <v>0.19666993143976497</v>
      </c>
      <c r="Z16" s="33">
        <v>0.19950759810442623</v>
      </c>
      <c r="AA16" s="33">
        <v>0.1994674226095263</v>
      </c>
      <c r="AB16" s="33">
        <v>0.18676628211286619</v>
      </c>
      <c r="AC16" s="33">
        <v>2.3601479963457527E-2</v>
      </c>
      <c r="AD16" s="34">
        <v>37.353256422573239</v>
      </c>
      <c r="AE16" s="34">
        <v>4.7202959926915051</v>
      </c>
    </row>
    <row r="17" spans="1:31" x14ac:dyDescent="0.35">
      <c r="A17" s="3" t="s">
        <v>14</v>
      </c>
      <c r="B17" s="5">
        <v>47.02</v>
      </c>
      <c r="C17" s="5">
        <v>48.38</v>
      </c>
      <c r="D17" s="9">
        <v>21.82</v>
      </c>
      <c r="E17" s="9">
        <v>18.45</v>
      </c>
      <c r="F17" s="31">
        <v>1.0356828193832601</v>
      </c>
      <c r="G17" s="31">
        <v>1.0656387665198239</v>
      </c>
      <c r="H17" s="32">
        <v>0.48061674008810573</v>
      </c>
      <c r="I17" s="32">
        <v>0.40638766519823788</v>
      </c>
      <c r="J17" s="3" t="s">
        <v>14</v>
      </c>
      <c r="K17" s="5">
        <v>44.231400000000001</v>
      </c>
      <c r="L17" s="5">
        <v>44.598300000000002</v>
      </c>
      <c r="M17" s="9">
        <v>18.042200000000001</v>
      </c>
      <c r="N17" s="9">
        <v>18.00545</v>
      </c>
      <c r="O17" s="31">
        <v>1.1954432432432434</v>
      </c>
      <c r="P17" s="31">
        <v>1.2053594594594594</v>
      </c>
      <c r="Q17" s="32">
        <v>0.48762702702702704</v>
      </c>
      <c r="R17" s="32">
        <v>0.4866337837837838</v>
      </c>
      <c r="S17" s="3" t="s">
        <v>14</v>
      </c>
      <c r="T17" s="31">
        <v>1.1255310721514467</v>
      </c>
      <c r="U17" s="31">
        <v>8.7407245859700514E-2</v>
      </c>
      <c r="V17" s="32">
        <v>0.46531630402428859</v>
      </c>
      <c r="W17" s="32">
        <v>3.9407660515165061E-2</v>
      </c>
      <c r="X17" s="33">
        <v>0.46405784772437253</v>
      </c>
      <c r="Y17" s="33">
        <v>0.39238621863036999</v>
      </c>
      <c r="Z17" s="33">
        <v>0.40790479161862386</v>
      </c>
      <c r="AA17" s="33">
        <v>0.4037250298778205</v>
      </c>
      <c r="AB17" s="33">
        <v>0.41701847196279673</v>
      </c>
      <c r="AC17" s="33">
        <v>3.2037610960421473E-2</v>
      </c>
      <c r="AD17" s="34">
        <v>83.403694392559345</v>
      </c>
      <c r="AE17" s="34">
        <v>6.4075221920842944</v>
      </c>
    </row>
    <row r="19" spans="1:31" x14ac:dyDescent="0.35">
      <c r="B19" s="13" t="s">
        <v>37</v>
      </c>
      <c r="F19" s="27" t="s">
        <v>49</v>
      </c>
      <c r="G19" s="27"/>
    </row>
    <row r="20" spans="1:31" x14ac:dyDescent="0.35">
      <c r="B20" s="35" t="s">
        <v>47</v>
      </c>
      <c r="C20" s="35" t="s">
        <v>64</v>
      </c>
      <c r="D20" s="35" t="s">
        <v>60</v>
      </c>
      <c r="E20" s="35" t="s">
        <v>63</v>
      </c>
      <c r="F20" s="36" t="s">
        <v>7</v>
      </c>
      <c r="G20" s="36" t="s">
        <v>63</v>
      </c>
    </row>
    <row r="21" spans="1:31" ht="16.5" x14ac:dyDescent="0.35">
      <c r="A21" s="3" t="s">
        <v>58</v>
      </c>
      <c r="B21" s="37">
        <v>1.2667483030372757</v>
      </c>
      <c r="C21" s="37">
        <v>4.3212489206097313E-2</v>
      </c>
      <c r="D21" s="38">
        <v>100</v>
      </c>
      <c r="E21" s="38">
        <f>C21*100/1.27</f>
        <v>3.4025582052045129</v>
      </c>
      <c r="F21" s="39">
        <v>100</v>
      </c>
      <c r="G21" s="39">
        <v>8</v>
      </c>
    </row>
    <row r="22" spans="1:31" x14ac:dyDescent="0.35">
      <c r="A22" s="3" t="s">
        <v>8</v>
      </c>
      <c r="B22" s="37">
        <v>1.0677246591582692</v>
      </c>
      <c r="C22" s="37">
        <v>0.14193869165005865</v>
      </c>
      <c r="D22" s="38">
        <f>B22*100/1.27</f>
        <v>84.072807807737732</v>
      </c>
      <c r="E22" s="38">
        <f t="shared" ref="E22:E31" si="0">C22*100/1.27</f>
        <v>11.176274933075483</v>
      </c>
      <c r="F22" s="39">
        <v>26.224593715777267</v>
      </c>
      <c r="G22" s="39">
        <v>2.6647638128814362</v>
      </c>
    </row>
    <row r="23" spans="1:31" x14ac:dyDescent="0.35">
      <c r="A23" s="3" t="s">
        <v>3</v>
      </c>
      <c r="B23" s="37">
        <v>1.1099653798549802</v>
      </c>
      <c r="C23" s="37">
        <v>0.1618501383110689</v>
      </c>
      <c r="D23" s="38">
        <f t="shared" ref="D23:D31" si="1">B23*100/1.27</f>
        <v>87.398848807478757</v>
      </c>
      <c r="E23" s="38">
        <f t="shared" si="0"/>
        <v>12.744105378824322</v>
      </c>
      <c r="F23" s="39">
        <v>23.516003633366605</v>
      </c>
      <c r="G23" s="39">
        <v>4.9763197145801277</v>
      </c>
    </row>
    <row r="24" spans="1:31" x14ac:dyDescent="0.35">
      <c r="A24" s="3" t="s">
        <v>4</v>
      </c>
      <c r="B24" s="37">
        <v>1.0304241503609812</v>
      </c>
      <c r="C24" s="37">
        <v>0.13361033715088358</v>
      </c>
      <c r="D24" s="38">
        <f t="shared" si="1"/>
        <v>81.135759870943403</v>
      </c>
      <c r="E24" s="38">
        <f t="shared" si="0"/>
        <v>10.520498988258549</v>
      </c>
      <c r="F24" s="39">
        <v>14.13481874429905</v>
      </c>
      <c r="G24" s="39">
        <v>1.9231765772880538</v>
      </c>
    </row>
    <row r="25" spans="1:31" x14ac:dyDescent="0.35">
      <c r="A25" s="3" t="s">
        <v>9</v>
      </c>
      <c r="B25" s="37">
        <v>1.2445677542533082</v>
      </c>
      <c r="C25" s="37">
        <v>0.33116440459217633</v>
      </c>
      <c r="D25" s="38">
        <f t="shared" si="1"/>
        <v>97.997460964827411</v>
      </c>
      <c r="E25" s="38">
        <f t="shared" si="0"/>
        <v>26.075937369462704</v>
      </c>
      <c r="F25" s="39">
        <v>32.393212208266817</v>
      </c>
      <c r="G25" s="39">
        <v>4.1619420427821154</v>
      </c>
    </row>
    <row r="26" spans="1:31" x14ac:dyDescent="0.35">
      <c r="A26" s="3" t="s">
        <v>10</v>
      </c>
      <c r="B26" s="37">
        <v>1.0512651656379335</v>
      </c>
      <c r="C26" s="37">
        <v>0.1621680920136836</v>
      </c>
      <c r="D26" s="38">
        <f t="shared" si="1"/>
        <v>82.776784695900275</v>
      </c>
      <c r="E26" s="38">
        <f t="shared" si="0"/>
        <v>12.769141103439653</v>
      </c>
      <c r="F26" s="39">
        <v>27.820807656408391</v>
      </c>
      <c r="G26" s="39">
        <v>2.4055983652217225</v>
      </c>
    </row>
    <row r="27" spans="1:31" x14ac:dyDescent="0.35">
      <c r="A27" s="3" t="s">
        <v>5</v>
      </c>
      <c r="B27" s="37">
        <v>1.0441608124179789</v>
      </c>
      <c r="C27" s="37">
        <v>0.22259191109692314</v>
      </c>
      <c r="D27" s="38">
        <f t="shared" si="1"/>
        <v>82.217386804565265</v>
      </c>
      <c r="E27" s="38">
        <f t="shared" si="0"/>
        <v>17.526922133615994</v>
      </c>
      <c r="F27" s="39">
        <v>13.995703034643736</v>
      </c>
      <c r="G27" s="39">
        <v>1.3917119231382009</v>
      </c>
    </row>
    <row r="28" spans="1:31" x14ac:dyDescent="0.35">
      <c r="A28" s="3" t="s">
        <v>11</v>
      </c>
      <c r="B28" s="37">
        <v>1.1989725446346626</v>
      </c>
      <c r="C28" s="37">
        <v>1.3739305560341921E-2</v>
      </c>
      <c r="D28" s="38">
        <f t="shared" si="1"/>
        <v>94.407286979107297</v>
      </c>
      <c r="E28" s="38">
        <f t="shared" si="0"/>
        <v>1.0818350834914898</v>
      </c>
      <c r="F28" s="39">
        <v>32.224358703626635</v>
      </c>
      <c r="G28" s="39">
        <v>0.41339995192536688</v>
      </c>
    </row>
    <row r="29" spans="1:31" x14ac:dyDescent="0.35">
      <c r="A29" s="3" t="s">
        <v>12</v>
      </c>
      <c r="B29" s="37">
        <v>1.235320599985112</v>
      </c>
      <c r="C29" s="37">
        <v>5.7793828819525848E-2</v>
      </c>
      <c r="D29" s="38">
        <f t="shared" si="1"/>
        <v>97.269338581504883</v>
      </c>
      <c r="E29" s="38">
        <f t="shared" si="0"/>
        <v>4.5506951826398305</v>
      </c>
      <c r="F29" s="39">
        <v>78.202553831766323</v>
      </c>
      <c r="G29" s="39">
        <v>2.508649589531752</v>
      </c>
    </row>
    <row r="30" spans="1:31" x14ac:dyDescent="0.35">
      <c r="A30" s="3" t="s">
        <v>13</v>
      </c>
      <c r="B30" s="37">
        <v>1.2059626421581593</v>
      </c>
      <c r="C30" s="37">
        <v>7.4181295826358434E-2</v>
      </c>
      <c r="D30" s="38">
        <f t="shared" si="1"/>
        <v>94.95768835891019</v>
      </c>
      <c r="E30" s="38">
        <f t="shared" si="0"/>
        <v>5.8410469154612938</v>
      </c>
      <c r="F30" s="39">
        <v>37.353256422573239</v>
      </c>
      <c r="G30" s="39">
        <v>4.7202959926915051</v>
      </c>
    </row>
    <row r="31" spans="1:31" x14ac:dyDescent="0.35">
      <c r="A31" s="3" t="s">
        <v>14</v>
      </c>
      <c r="B31" s="37">
        <v>1.1255310721514467</v>
      </c>
      <c r="C31" s="37">
        <v>8.7407245859700514E-2</v>
      </c>
      <c r="D31" s="38">
        <f t="shared" si="1"/>
        <v>88.624493870192651</v>
      </c>
      <c r="E31" s="38">
        <f t="shared" si="0"/>
        <v>6.882460303913426</v>
      </c>
      <c r="F31" s="39">
        <v>83.403694392559345</v>
      </c>
      <c r="G31" s="39">
        <v>6.4075221920842944</v>
      </c>
    </row>
    <row r="34" spans="1:8" x14ac:dyDescent="0.35">
      <c r="A34" s="17" t="s">
        <v>6</v>
      </c>
    </row>
    <row r="35" spans="1:8" x14ac:dyDescent="0.35">
      <c r="B35" s="17" t="s">
        <v>56</v>
      </c>
      <c r="C35" s="17" t="s">
        <v>55</v>
      </c>
      <c r="D35" s="17" t="s">
        <v>2</v>
      </c>
      <c r="E35" s="13" t="s">
        <v>37</v>
      </c>
      <c r="F35" s="13" t="s">
        <v>62</v>
      </c>
      <c r="G35" s="22" t="s">
        <v>61</v>
      </c>
      <c r="H35" s="22" t="s">
        <v>63</v>
      </c>
    </row>
    <row r="36" spans="1:8" x14ac:dyDescent="0.35">
      <c r="A36" s="17" t="s">
        <v>59</v>
      </c>
      <c r="B36" s="18">
        <v>78.754684596577022</v>
      </c>
      <c r="C36" s="19">
        <v>22.185584352078241</v>
      </c>
      <c r="D36" s="16">
        <f>C36/B36</f>
        <v>0.28170494829259352</v>
      </c>
      <c r="E36" s="16">
        <f>AVERAGE(D36:D38)</f>
        <v>0.27926269193599901</v>
      </c>
      <c r="F36" s="16">
        <f>STDEV(D36:D38)</f>
        <v>8.3644951931541658E-3</v>
      </c>
      <c r="G36" s="23">
        <f>100*E36/0.28</f>
        <v>99.736675691428204</v>
      </c>
      <c r="H36" s="23">
        <f>100*F36/0.28</f>
        <v>2.9873197118407733</v>
      </c>
    </row>
    <row r="37" spans="1:8" x14ac:dyDescent="0.35">
      <c r="A37" s="17" t="s">
        <v>59</v>
      </c>
      <c r="B37" s="18">
        <v>76.437665036674815</v>
      </c>
      <c r="C37" s="19">
        <v>21.871432762836186</v>
      </c>
      <c r="D37" s="16">
        <f t="shared" ref="D37:D47" si="2">C37/B37</f>
        <v>0.28613423437702168</v>
      </c>
      <c r="E37" s="16"/>
      <c r="F37" s="16"/>
      <c r="G37" s="23"/>
      <c r="H37" s="23"/>
    </row>
    <row r="38" spans="1:8" x14ac:dyDescent="0.35">
      <c r="A38" s="17" t="s">
        <v>59</v>
      </c>
      <c r="B38" s="18">
        <v>75.982026894865527</v>
      </c>
      <c r="C38" s="19">
        <v>20.511264058679703</v>
      </c>
      <c r="D38" s="16">
        <f t="shared" si="2"/>
        <v>0.26994889313838177</v>
      </c>
      <c r="E38" s="16"/>
      <c r="F38" s="16"/>
      <c r="G38" s="23"/>
      <c r="H38" s="23"/>
    </row>
    <row r="39" spans="1:8" x14ac:dyDescent="0.35">
      <c r="A39" s="17" t="s">
        <v>3</v>
      </c>
      <c r="B39" s="18">
        <v>28.67502589641434</v>
      </c>
      <c r="C39" s="19">
        <v>2.6820876494023906</v>
      </c>
      <c r="D39" s="16">
        <f t="shared" si="2"/>
        <v>9.3533922483319237E-2</v>
      </c>
      <c r="E39" s="16">
        <f>AVERAGE(D39:D41)</f>
        <v>8.8799771494087354E-2</v>
      </c>
      <c r="F39" s="16">
        <f>STDEV(D39:D41)</f>
        <v>9.8145270058715636E-3</v>
      </c>
      <c r="G39" s="23">
        <f t="shared" ref="G39:G45" si="3">100*E39/0.28</f>
        <v>31.714204105031193</v>
      </c>
      <c r="H39" s="23">
        <f t="shared" ref="H39:H45" si="4">100*F39/0.28</f>
        <v>3.5051882163827011</v>
      </c>
    </row>
    <row r="40" spans="1:8" x14ac:dyDescent="0.35">
      <c r="A40" s="17" t="s">
        <v>3</v>
      </c>
      <c r="B40" s="18">
        <v>28.527860557768925</v>
      </c>
      <c r="C40" s="19">
        <v>2.7201274900398409</v>
      </c>
      <c r="D40" s="16">
        <f t="shared" si="2"/>
        <v>9.5349859290414785E-2</v>
      </c>
      <c r="E40" s="16"/>
      <c r="F40" s="16"/>
      <c r="G40" s="23"/>
      <c r="H40" s="23"/>
    </row>
    <row r="41" spans="1:8" x14ac:dyDescent="0.35">
      <c r="A41" s="17" t="s">
        <v>3</v>
      </c>
      <c r="B41" s="18">
        <v>29.279557768924303</v>
      </c>
      <c r="C41" s="19">
        <v>2.2696205179282871</v>
      </c>
      <c r="D41" s="16">
        <f t="shared" si="2"/>
        <v>7.7515532708528012E-2</v>
      </c>
      <c r="E41" s="16"/>
      <c r="F41" s="16"/>
      <c r="G41" s="23"/>
      <c r="H41" s="23"/>
    </row>
    <row r="42" spans="1:8" x14ac:dyDescent="0.35">
      <c r="A42" s="17" t="s">
        <v>4</v>
      </c>
      <c r="B42" s="18">
        <v>25.639038847117796</v>
      </c>
      <c r="C42" s="19">
        <v>1.4347944862155388</v>
      </c>
      <c r="D42" s="16">
        <f t="shared" si="2"/>
        <v>5.5961321123269438E-2</v>
      </c>
      <c r="E42" s="16">
        <f>AVERAGE(D42:D44)</f>
        <v>5.7777450193075064E-2</v>
      </c>
      <c r="F42" s="16">
        <f>STDEV(D42:D44)</f>
        <v>1.6377292109705521E-3</v>
      </c>
      <c r="G42" s="23">
        <f t="shared" si="3"/>
        <v>20.63480364038395</v>
      </c>
      <c r="H42" s="23">
        <f t="shared" si="4"/>
        <v>0.58490328963233995</v>
      </c>
    </row>
    <row r="43" spans="1:8" x14ac:dyDescent="0.35">
      <c r="A43" s="17" t="s">
        <v>4</v>
      </c>
      <c r="B43" s="18">
        <v>25.729588972431078</v>
      </c>
      <c r="C43" s="19">
        <v>1.4982080200501255</v>
      </c>
      <c r="D43" s="16">
        <f t="shared" si="2"/>
        <v>5.8228991596229386E-2</v>
      </c>
      <c r="E43" s="16"/>
      <c r="F43" s="16"/>
      <c r="G43" s="23"/>
      <c r="H43" s="23"/>
    </row>
    <row r="44" spans="1:8" x14ac:dyDescent="0.35">
      <c r="A44" s="17" t="s">
        <v>4</v>
      </c>
      <c r="B44" s="18">
        <v>25.499749373433588</v>
      </c>
      <c r="C44" s="19">
        <v>1.5081071428571429</v>
      </c>
      <c r="D44" s="16">
        <f t="shared" si="2"/>
        <v>5.9142037859726361E-2</v>
      </c>
      <c r="E44" s="16"/>
      <c r="F44" s="16"/>
      <c r="G44" s="23"/>
      <c r="H44" s="23"/>
    </row>
    <row r="45" spans="1:8" x14ac:dyDescent="0.35">
      <c r="A45" s="17" t="s">
        <v>5</v>
      </c>
      <c r="B45" s="18">
        <v>32.152929515418499</v>
      </c>
      <c r="C45" s="19">
        <v>0.72375495594713657</v>
      </c>
      <c r="D45" s="16">
        <f t="shared" si="2"/>
        <v>2.2509767130241422E-2</v>
      </c>
      <c r="E45" s="16">
        <f>AVERAGE(D45:D47)</f>
        <v>3.3760029763742289E-2</v>
      </c>
      <c r="F45" s="16">
        <f>STDEV(D45:D47)</f>
        <v>9.836709268651652E-3</v>
      </c>
      <c r="G45" s="23">
        <f t="shared" si="3"/>
        <v>12.057153487050815</v>
      </c>
      <c r="H45" s="23">
        <f t="shared" si="4"/>
        <v>3.5131104530898756</v>
      </c>
    </row>
    <row r="46" spans="1:8" x14ac:dyDescent="0.35">
      <c r="A46" s="17" t="s">
        <v>5</v>
      </c>
      <c r="B46" s="18">
        <v>32.449664096916301</v>
      </c>
      <c r="C46" s="19">
        <v>1.3219867841409694</v>
      </c>
      <c r="D46" s="16">
        <f t="shared" si="2"/>
        <v>4.0739613827515647E-2</v>
      </c>
      <c r="E46" s="16"/>
      <c r="F46" s="16"/>
    </row>
    <row r="47" spans="1:8" x14ac:dyDescent="0.35">
      <c r="A47" s="17" t="s">
        <v>5</v>
      </c>
      <c r="B47" s="18">
        <v>32.281268722466962</v>
      </c>
      <c r="C47" s="19">
        <v>1.2276795154185023</v>
      </c>
      <c r="D47" s="16">
        <f t="shared" si="2"/>
        <v>3.8030708333469797E-2</v>
      </c>
      <c r="E47" s="16"/>
      <c r="F47" s="16"/>
    </row>
    <row r="49" spans="1:8" x14ac:dyDescent="0.35">
      <c r="A49" s="13" t="s">
        <v>6</v>
      </c>
    </row>
    <row r="50" spans="1:8" x14ac:dyDescent="0.35">
      <c r="B50" s="13" t="s">
        <v>0</v>
      </c>
      <c r="C50" s="13" t="s">
        <v>62</v>
      </c>
      <c r="D50" s="13" t="s">
        <v>1</v>
      </c>
      <c r="E50" s="13" t="s">
        <v>62</v>
      </c>
      <c r="F50" s="13" t="s">
        <v>2</v>
      </c>
      <c r="G50" s="17" t="s">
        <v>7</v>
      </c>
      <c r="H50" s="17" t="s">
        <v>65</v>
      </c>
    </row>
    <row r="51" spans="1:8" x14ac:dyDescent="0.35">
      <c r="A51" s="13" t="s">
        <v>59</v>
      </c>
      <c r="B51" s="14">
        <v>77.058125509372459</v>
      </c>
      <c r="C51" s="13">
        <v>1.4868207966497344</v>
      </c>
      <c r="D51" s="24">
        <v>21.522760391198045</v>
      </c>
      <c r="E51" s="22">
        <v>0.88995304835669065</v>
      </c>
      <c r="F51" s="16">
        <v>0.27930552746939408</v>
      </c>
      <c r="G51" s="18">
        <v>100</v>
      </c>
      <c r="H51" s="18">
        <f>E51*100/21.5</f>
        <v>4.1393165039846078</v>
      </c>
    </row>
    <row r="52" spans="1:8" x14ac:dyDescent="0.35">
      <c r="A52" s="13" t="s">
        <v>3</v>
      </c>
      <c r="B52" s="14">
        <v>28.827481407702521</v>
      </c>
      <c r="C52" s="13">
        <v>0.39836438910412036</v>
      </c>
      <c r="D52" s="15">
        <v>2.5572785524568395</v>
      </c>
      <c r="E52" s="13">
        <v>0.24984418342349507</v>
      </c>
      <c r="F52" s="16">
        <v>8.87097459639173E-2</v>
      </c>
      <c r="G52" s="18">
        <v>31.682052129970458</v>
      </c>
      <c r="H52" s="18">
        <f t="shared" ref="H52:H54" si="5">E52*100/21.5</f>
        <v>1.1620659694116049</v>
      </c>
    </row>
    <row r="53" spans="1:8" x14ac:dyDescent="0.35">
      <c r="A53" s="13" t="s">
        <v>4</v>
      </c>
      <c r="B53" s="14">
        <v>25.62279239766082</v>
      </c>
      <c r="C53" s="13">
        <v>0.11577789364468628</v>
      </c>
      <c r="D53" s="15">
        <v>1.4803698830409358</v>
      </c>
      <c r="E53" s="13">
        <v>3.9778584124267186E-2</v>
      </c>
      <c r="F53" s="16">
        <v>5.777550940061018E-2</v>
      </c>
      <c r="G53" s="18">
        <v>20.634110500217918</v>
      </c>
      <c r="H53" s="18">
        <f t="shared" si="5"/>
        <v>0.18501667034542876</v>
      </c>
    </row>
    <row r="54" spans="1:8" x14ac:dyDescent="0.35">
      <c r="A54" s="13" t="s">
        <v>5</v>
      </c>
      <c r="B54" s="14">
        <v>32.294620778267252</v>
      </c>
      <c r="C54" s="13">
        <v>0.14881720669915652</v>
      </c>
      <c r="D54" s="15">
        <v>1.0911404185022027</v>
      </c>
      <c r="E54" s="13">
        <v>0.32164036408086688</v>
      </c>
      <c r="F54" s="16">
        <v>3.3787063981766535E-2</v>
      </c>
      <c r="G54" s="18">
        <v>12.066808564916618</v>
      </c>
      <c r="H54" s="18">
        <f t="shared" si="5"/>
        <v>1.4960016933993807</v>
      </c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7"/>
  <sheetViews>
    <sheetView zoomScale="60" zoomScaleNormal="60" workbookViewId="0">
      <selection activeCell="K27" sqref="K27"/>
    </sheetView>
  </sheetViews>
  <sheetFormatPr baseColWidth="10" defaultRowHeight="14.5" x14ac:dyDescent="0.35"/>
  <cols>
    <col min="1" max="1" width="16.453125" customWidth="1"/>
    <col min="4" max="4" width="17.08984375" customWidth="1"/>
    <col min="10" max="10" width="18.1796875" customWidth="1"/>
    <col min="19" max="19" width="16.6328125" customWidth="1"/>
    <col min="30" max="30" width="12.54296875" customWidth="1"/>
  </cols>
  <sheetData>
    <row r="1" spans="1:31" x14ac:dyDescent="0.35">
      <c r="A1" s="27" t="s">
        <v>70</v>
      </c>
    </row>
    <row r="2" spans="1:31" x14ac:dyDescent="0.35">
      <c r="A2" t="s">
        <v>45</v>
      </c>
    </row>
    <row r="4" spans="1:31" x14ac:dyDescent="0.35">
      <c r="A4" s="13"/>
      <c r="B4" s="26" t="s">
        <v>38</v>
      </c>
      <c r="C4" s="13"/>
      <c r="D4" s="13"/>
      <c r="E4" s="13"/>
      <c r="F4" s="13"/>
      <c r="G4" s="13"/>
      <c r="H4" s="13"/>
      <c r="I4" s="13"/>
      <c r="J4" s="17"/>
      <c r="K4" s="26" t="s">
        <v>39</v>
      </c>
      <c r="L4" s="13"/>
      <c r="M4" s="13"/>
      <c r="N4" s="13"/>
      <c r="O4" s="13"/>
      <c r="P4" s="13"/>
      <c r="Q4" s="13"/>
      <c r="R4" s="13"/>
      <c r="S4" s="27" t="s">
        <v>46</v>
      </c>
      <c r="T4" s="13" t="s">
        <v>54</v>
      </c>
      <c r="U4" s="13"/>
      <c r="V4" s="13" t="s">
        <v>54</v>
      </c>
      <c r="W4" s="13" t="s">
        <v>37</v>
      </c>
      <c r="X4" s="25"/>
      <c r="Y4" s="25"/>
      <c r="Z4" s="25"/>
      <c r="AA4" s="25"/>
      <c r="AB4" s="25" t="s">
        <v>37</v>
      </c>
      <c r="AC4" s="25" t="s">
        <v>37</v>
      </c>
      <c r="AD4" s="25"/>
      <c r="AE4" s="25"/>
    </row>
    <row r="5" spans="1:31" x14ac:dyDescent="0.35">
      <c r="A5" s="6"/>
      <c r="B5" s="7" t="s">
        <v>50</v>
      </c>
      <c r="C5" s="7" t="s">
        <v>51</v>
      </c>
      <c r="D5" s="8" t="s">
        <v>52</v>
      </c>
      <c r="E5" s="8" t="s">
        <v>53</v>
      </c>
      <c r="F5" s="7" t="s">
        <v>33</v>
      </c>
      <c r="G5" s="7" t="s">
        <v>34</v>
      </c>
      <c r="H5" s="8" t="s">
        <v>35</v>
      </c>
      <c r="I5" s="8" t="s">
        <v>36</v>
      </c>
      <c r="J5" s="3"/>
      <c r="K5" s="7" t="s">
        <v>50</v>
      </c>
      <c r="L5" s="7" t="s">
        <v>51</v>
      </c>
      <c r="M5" s="8" t="s">
        <v>52</v>
      </c>
      <c r="N5" s="8" t="s">
        <v>53</v>
      </c>
      <c r="O5" s="7" t="s">
        <v>33</v>
      </c>
      <c r="P5" s="7" t="s">
        <v>34</v>
      </c>
      <c r="Q5" s="8" t="s">
        <v>35</v>
      </c>
      <c r="R5" s="8" t="s">
        <v>36</v>
      </c>
      <c r="S5" s="6"/>
      <c r="T5" s="7" t="s">
        <v>47</v>
      </c>
      <c r="U5" s="7" t="s">
        <v>62</v>
      </c>
      <c r="V5" s="8" t="s">
        <v>48</v>
      </c>
      <c r="W5" s="8" t="s">
        <v>62</v>
      </c>
      <c r="X5" s="48" t="s">
        <v>40</v>
      </c>
      <c r="Y5" s="48" t="s">
        <v>41</v>
      </c>
      <c r="Z5" s="48" t="s">
        <v>42</v>
      </c>
      <c r="AA5" s="48" t="s">
        <v>43</v>
      </c>
      <c r="AB5" s="48" t="s">
        <v>2</v>
      </c>
      <c r="AC5" s="48" t="s">
        <v>62</v>
      </c>
      <c r="AD5" s="49" t="s">
        <v>44</v>
      </c>
      <c r="AE5" s="49" t="s">
        <v>63</v>
      </c>
    </row>
    <row r="6" spans="1:31" ht="16.5" x14ac:dyDescent="0.35">
      <c r="A6" s="3" t="s">
        <v>15</v>
      </c>
      <c r="B6" s="5">
        <v>46.18</v>
      </c>
      <c r="C6" s="5">
        <v>49.8</v>
      </c>
      <c r="D6" s="9">
        <v>25.369999999999997</v>
      </c>
      <c r="E6" s="9">
        <v>23.62</v>
      </c>
      <c r="F6" s="10">
        <v>0.91264822134387347</v>
      </c>
      <c r="G6" s="10">
        <v>0.98418972332015797</v>
      </c>
      <c r="H6" s="11">
        <v>0.50138339920948605</v>
      </c>
      <c r="I6" s="11">
        <v>0.46679841897233204</v>
      </c>
      <c r="J6" s="3" t="s">
        <v>15</v>
      </c>
      <c r="K6" s="5">
        <v>45.5383</v>
      </c>
      <c r="L6" s="5">
        <v>44.36</v>
      </c>
      <c r="M6" s="9">
        <v>23.5793</v>
      </c>
      <c r="N6" s="9">
        <v>23.4801</v>
      </c>
      <c r="O6" s="10">
        <v>1.1676487179487178</v>
      </c>
      <c r="P6" s="10">
        <v>1.1374358974358973</v>
      </c>
      <c r="Q6" s="11">
        <v>0.60459743589743586</v>
      </c>
      <c r="R6" s="11">
        <v>0.60205384615384616</v>
      </c>
      <c r="S6" s="3" t="s">
        <v>22</v>
      </c>
      <c r="T6" s="10">
        <v>1.0504806400121616</v>
      </c>
      <c r="U6" s="10">
        <v>0.12204075351126513</v>
      </c>
      <c r="V6" s="11">
        <v>0.54370827505827501</v>
      </c>
      <c r="W6" s="11">
        <v>7.0280904597055757E-2</v>
      </c>
      <c r="X6" s="50">
        <v>0.5493720225205716</v>
      </c>
      <c r="Y6" s="50">
        <v>0.51147682979644871</v>
      </c>
      <c r="Z6" s="50">
        <v>0.51779051918934171</v>
      </c>
      <c r="AA6" s="50">
        <v>0.52930793507664564</v>
      </c>
      <c r="AB6" s="50">
        <v>0.52698682664575192</v>
      </c>
      <c r="AC6" s="50">
        <v>1.6649490600818509E-2</v>
      </c>
      <c r="AD6" s="51">
        <v>100</v>
      </c>
      <c r="AE6" s="51">
        <v>3.3298981201637017</v>
      </c>
    </row>
    <row r="7" spans="1:31" x14ac:dyDescent="0.35">
      <c r="A7" s="3" t="s">
        <v>16</v>
      </c>
      <c r="B7" s="5">
        <v>38.229999999999997</v>
      </c>
      <c r="C7" s="5">
        <v>38.43</v>
      </c>
      <c r="D7" s="9">
        <v>3.5300000000000002</v>
      </c>
      <c r="E7" s="9">
        <v>2.54</v>
      </c>
      <c r="F7" s="10">
        <v>0.80995762711864394</v>
      </c>
      <c r="G7" s="10">
        <v>0.81419491525423726</v>
      </c>
      <c r="H7" s="11">
        <v>7.478813559322034E-2</v>
      </c>
      <c r="I7" s="11">
        <v>5.3813559322033896E-2</v>
      </c>
      <c r="J7" s="3" t="s">
        <v>16</v>
      </c>
      <c r="K7" s="5">
        <v>31.843499999999999</v>
      </c>
      <c r="L7" s="5">
        <v>32.073599999999999</v>
      </c>
      <c r="M7" s="9">
        <v>3.8294999999999999</v>
      </c>
      <c r="N7" s="9">
        <v>3.4552500000000004</v>
      </c>
      <c r="O7" s="10">
        <v>0.84915999999999991</v>
      </c>
      <c r="P7" s="10">
        <v>0.85529599999999995</v>
      </c>
      <c r="Q7" s="11">
        <v>0.10212</v>
      </c>
      <c r="R7" s="11">
        <v>9.2140000000000014E-2</v>
      </c>
      <c r="S7" s="3" t="s">
        <v>16</v>
      </c>
      <c r="T7" s="10">
        <v>0.83215213559322032</v>
      </c>
      <c r="U7" s="10">
        <v>2.3380646413145714E-2</v>
      </c>
      <c r="V7" s="11">
        <v>8.071542372881356E-2</v>
      </c>
      <c r="W7" s="11">
        <v>2.1193708826978953E-2</v>
      </c>
      <c r="X7" s="50">
        <v>9.2335861888569196E-2</v>
      </c>
      <c r="Y7" s="50">
        <v>6.6439968611038458E-2</v>
      </c>
      <c r="Z7" s="50">
        <v>0.12026002166847238</v>
      </c>
      <c r="AA7" s="50">
        <v>0.1077287862915295</v>
      </c>
      <c r="AB7" s="50">
        <v>9.6691159614902378E-2</v>
      </c>
      <c r="AC7" s="50">
        <v>2.3176307130271825E-2</v>
      </c>
      <c r="AD7" s="51">
        <v>18.243615021679695</v>
      </c>
      <c r="AE7" s="51">
        <v>4.635261426054365</v>
      </c>
    </row>
    <row r="8" spans="1:31" x14ac:dyDescent="0.35">
      <c r="A8" s="3" t="s">
        <v>17</v>
      </c>
      <c r="B8" s="5">
        <v>46.85</v>
      </c>
      <c r="C8" s="5">
        <v>45.19</v>
      </c>
      <c r="D8" s="9">
        <v>2.0699999999999998</v>
      </c>
      <c r="E8" s="9">
        <v>1.6800000000000006</v>
      </c>
      <c r="F8" s="10">
        <v>0.93141153081510941</v>
      </c>
      <c r="G8" s="10">
        <v>0.89840954274353879</v>
      </c>
      <c r="H8" s="11">
        <v>4.1153081510934393E-2</v>
      </c>
      <c r="I8" s="11">
        <v>3.33996023856859E-2</v>
      </c>
      <c r="J8" s="3" t="s">
        <v>17</v>
      </c>
      <c r="K8" s="5">
        <v>46.114100000000001</v>
      </c>
      <c r="L8" s="5">
        <v>43.2395</v>
      </c>
      <c r="M8" s="9">
        <v>2.5655000000000001</v>
      </c>
      <c r="N8" s="9">
        <v>1.6704333333333334</v>
      </c>
      <c r="O8" s="10">
        <v>1.3175457142857143</v>
      </c>
      <c r="P8" s="10">
        <v>1.2354142857142858</v>
      </c>
      <c r="Q8" s="11">
        <v>7.3300000000000004E-2</v>
      </c>
      <c r="R8" s="11">
        <v>4.7726666666666667E-2</v>
      </c>
      <c r="S8" s="3" t="s">
        <v>17</v>
      </c>
      <c r="T8" s="10">
        <v>1.0956952683896621</v>
      </c>
      <c r="U8" s="10">
        <v>0.21185673470659133</v>
      </c>
      <c r="V8" s="11">
        <v>4.8894837640821739E-2</v>
      </c>
      <c r="W8" s="11">
        <v>1.729174829014659E-2</v>
      </c>
      <c r="X8" s="50">
        <v>4.4183564567769472E-2</v>
      </c>
      <c r="Y8" s="50">
        <v>3.5859124866595531E-2</v>
      </c>
      <c r="Z8" s="50">
        <v>5.5633743258569505E-2</v>
      </c>
      <c r="AA8" s="50">
        <v>3.8632114925781592E-2</v>
      </c>
      <c r="AB8" s="50">
        <v>4.3577136904679022E-2</v>
      </c>
      <c r="AC8" s="50">
        <v>8.7511992221069382E-3</v>
      </c>
      <c r="AD8" s="51">
        <v>8.2221013027696266</v>
      </c>
      <c r="AE8" s="51">
        <v>1.7502398444213876</v>
      </c>
    </row>
    <row r="9" spans="1:31" x14ac:dyDescent="0.35">
      <c r="A9" s="3" t="s">
        <v>23</v>
      </c>
      <c r="B9" s="5">
        <v>42.8</v>
      </c>
      <c r="C9" s="5">
        <v>45.3</v>
      </c>
      <c r="D9" s="9">
        <v>26.599999999999998</v>
      </c>
      <c r="E9" s="9">
        <v>22.560000000000002</v>
      </c>
      <c r="F9" s="10">
        <v>0.91648822269807273</v>
      </c>
      <c r="G9" s="10">
        <v>0.97002141327623115</v>
      </c>
      <c r="H9" s="11">
        <v>0.56959314775160597</v>
      </c>
      <c r="I9" s="11">
        <v>0.48308351177730197</v>
      </c>
      <c r="J9" s="3" t="s">
        <v>23</v>
      </c>
      <c r="K9" s="5">
        <v>42.121499999999997</v>
      </c>
      <c r="L9" s="5">
        <v>44.208300000000001</v>
      </c>
      <c r="M9" s="9">
        <v>23.446899999999999</v>
      </c>
      <c r="N9" s="9">
        <v>23.132249999999999</v>
      </c>
      <c r="O9" s="10">
        <v>1.2034714285714285</v>
      </c>
      <c r="P9" s="10">
        <v>1.2630942857142857</v>
      </c>
      <c r="Q9" s="11">
        <v>0.6699114285714286</v>
      </c>
      <c r="R9" s="11">
        <v>0.66092142857142855</v>
      </c>
      <c r="S9" s="3" t="s">
        <v>23</v>
      </c>
      <c r="T9" s="10">
        <v>1.0882688375650045</v>
      </c>
      <c r="U9" s="10">
        <v>0.17061321489476405</v>
      </c>
      <c r="V9" s="11">
        <v>0.59587737916794126</v>
      </c>
      <c r="W9" s="11">
        <v>8.779727819616806E-2</v>
      </c>
      <c r="X9" s="50">
        <v>0.62149532710280375</v>
      </c>
      <c r="Y9" s="50">
        <v>0.52710280373831786</v>
      </c>
      <c r="Z9" s="50">
        <v>0.55664921714563831</v>
      </c>
      <c r="AA9" s="50">
        <v>0.5232558139534883</v>
      </c>
      <c r="AB9" s="50">
        <v>0.55712579048506206</v>
      </c>
      <c r="AC9" s="50">
        <v>4.5432071674736466E-2</v>
      </c>
      <c r="AD9" s="51">
        <v>100</v>
      </c>
      <c r="AE9" s="51">
        <v>9.0864143349472926</v>
      </c>
    </row>
    <row r="10" spans="1:31" x14ac:dyDescent="0.35">
      <c r="A10" s="3" t="s">
        <v>24</v>
      </c>
      <c r="B10" s="5">
        <v>49.7</v>
      </c>
      <c r="C10" s="5">
        <v>47.6</v>
      </c>
      <c r="D10" s="9">
        <v>1.3999999999999995</v>
      </c>
      <c r="E10" s="9">
        <v>1.84</v>
      </c>
      <c r="F10" s="10">
        <v>0.99799196787148603</v>
      </c>
      <c r="G10" s="10">
        <v>0.95582329317269088</v>
      </c>
      <c r="H10" s="11">
        <v>2.8112449799196779E-2</v>
      </c>
      <c r="I10" s="11">
        <v>3.6947791164658642E-2</v>
      </c>
      <c r="J10" s="3" t="s">
        <v>24</v>
      </c>
      <c r="K10" s="5">
        <v>39.932600000000001</v>
      </c>
      <c r="L10" s="5">
        <v>38.513199999999998</v>
      </c>
      <c r="M10" s="9">
        <v>1.5687</v>
      </c>
      <c r="N10" s="9">
        <v>1.6909000000000001</v>
      </c>
      <c r="O10" s="10">
        <v>1.1409314285714285</v>
      </c>
      <c r="P10" s="10">
        <v>1.1003771428571427</v>
      </c>
      <c r="Q10" s="11">
        <v>4.4819999999999999E-2</v>
      </c>
      <c r="R10" s="11">
        <v>4.8311428571428575E-2</v>
      </c>
      <c r="S10" s="3" t="s">
        <v>24</v>
      </c>
      <c r="T10" s="10">
        <v>1.0487809581181871</v>
      </c>
      <c r="U10" s="10">
        <v>8.6360725037038261E-2</v>
      </c>
      <c r="V10" s="11">
        <v>3.9547917383820998E-2</v>
      </c>
      <c r="W10" s="11">
        <v>8.9837734959890784E-3</v>
      </c>
      <c r="X10" s="50">
        <v>2.8169014084507032E-2</v>
      </c>
      <c r="Y10" s="50">
        <v>3.7022132796780689E-2</v>
      </c>
      <c r="Z10" s="50">
        <v>3.9283693022743323E-2</v>
      </c>
      <c r="AA10" s="50">
        <v>4.3904427572884111E-2</v>
      </c>
      <c r="AB10" s="50">
        <v>3.7094816869228789E-2</v>
      </c>
      <c r="AC10" s="50">
        <v>6.6039688843628061E-3</v>
      </c>
      <c r="AD10" s="51">
        <v>6.624074440933712</v>
      </c>
      <c r="AE10" s="51">
        <v>1.3207937768725613</v>
      </c>
    </row>
    <row r="11" spans="1:31" ht="16.5" x14ac:dyDescent="0.35">
      <c r="A11" s="3" t="s">
        <v>15</v>
      </c>
      <c r="B11" s="35">
        <v>45.5</v>
      </c>
      <c r="C11" s="35">
        <v>44.4</v>
      </c>
      <c r="D11" s="44">
        <v>23.6</v>
      </c>
      <c r="E11" s="44">
        <v>24.4</v>
      </c>
      <c r="F11" s="40">
        <v>1.1599999999999999</v>
      </c>
      <c r="G11" s="40">
        <v>1.1399999999999999</v>
      </c>
      <c r="H11" s="42">
        <v>0.6</v>
      </c>
      <c r="I11" s="42">
        <v>0.6</v>
      </c>
      <c r="J11" s="3" t="s">
        <v>15</v>
      </c>
      <c r="K11" s="35">
        <v>21.5</v>
      </c>
      <c r="L11" s="35">
        <v>27.6</v>
      </c>
      <c r="M11" s="43">
        <v>13.4</v>
      </c>
      <c r="N11" s="43">
        <v>12.5</v>
      </c>
      <c r="O11" s="40">
        <f>K11/24.6</f>
        <v>0.8739837398373983</v>
      </c>
      <c r="P11" s="40">
        <f>L11/24.6</f>
        <v>1.121951219512195</v>
      </c>
      <c r="Q11" s="42">
        <f>M11/24.6</f>
        <v>0.54471544715447151</v>
      </c>
      <c r="R11" s="42">
        <f>N11/24.6</f>
        <v>0.50813008130081294</v>
      </c>
      <c r="S11" s="3" t="s">
        <v>15</v>
      </c>
      <c r="T11" s="40">
        <f t="shared" ref="T11:T19" si="0">AVERAGE(F11,G11,O11,P11)</f>
        <v>1.0739837398373984</v>
      </c>
      <c r="U11" s="40">
        <f t="shared" ref="U11:U19" si="1">STDEV(F11,G11,O11,P11)</f>
        <v>0.13423589028841321</v>
      </c>
      <c r="V11" s="42">
        <f t="shared" ref="V11:V19" si="2">AVERAGE(H11,I11,Q11,R11)</f>
        <v>0.56321138211382116</v>
      </c>
      <c r="W11" s="42">
        <f t="shared" ref="W11:W19" si="3">STDEV(H11,I11,Q11,R11)</f>
        <v>4.502907994183368E-2</v>
      </c>
      <c r="X11" s="46">
        <f t="shared" ref="X11:X19" si="4">D11/B11</f>
        <v>0.51868131868131873</v>
      </c>
      <c r="Y11" s="46">
        <f t="shared" ref="Y11:Y19" si="5">E11/C11</f>
        <v>0.54954954954954949</v>
      </c>
      <c r="Z11" s="46">
        <f t="shared" ref="Z11:Z19" si="6">M11/K11</f>
        <v>0.62325581395348839</v>
      </c>
      <c r="AA11" s="46">
        <f t="shared" ref="AA11:AA19" si="7">N11/L11</f>
        <v>0.45289855072463764</v>
      </c>
      <c r="AB11" s="46">
        <f t="shared" ref="AB11:AB19" si="8">AVERAGE(X11,Y11,Z11,AA11)</f>
        <v>0.53609630822724863</v>
      </c>
      <c r="AC11" s="46">
        <f t="shared" ref="AC11:AC19" si="9">STDEV(X11,Y11,Z11,AA11)</f>
        <v>7.0717555234105514E-2</v>
      </c>
      <c r="AD11" s="47">
        <v>100</v>
      </c>
      <c r="AE11" s="47">
        <f t="shared" ref="AE11:AE18" si="10">AC11*100/0.54</f>
        <v>13.095843561871391</v>
      </c>
    </row>
    <row r="12" spans="1:31" x14ac:dyDescent="0.35">
      <c r="A12" s="3" t="s">
        <v>26</v>
      </c>
      <c r="B12" s="35">
        <v>23.1</v>
      </c>
      <c r="C12" s="35">
        <v>23</v>
      </c>
      <c r="D12" s="44">
        <v>1.4</v>
      </c>
      <c r="E12" s="44">
        <v>1.3</v>
      </c>
      <c r="F12" s="40">
        <v>1.05</v>
      </c>
      <c r="G12" s="40">
        <v>1.04</v>
      </c>
      <c r="H12" s="42">
        <v>0.03</v>
      </c>
      <c r="I12" s="42">
        <v>7.0000000000000007E-2</v>
      </c>
      <c r="J12" s="3" t="s">
        <v>26</v>
      </c>
      <c r="K12" s="41">
        <v>44.09</v>
      </c>
      <c r="L12" s="41">
        <v>41.98</v>
      </c>
      <c r="M12" s="43">
        <v>1.4</v>
      </c>
      <c r="N12" s="43">
        <v>2.4500000000000002</v>
      </c>
      <c r="O12" s="40">
        <f>K12/41.2</f>
        <v>1.0701456310679611</v>
      </c>
      <c r="P12" s="40">
        <f>L12/41.2</f>
        <v>1.0189320388349512</v>
      </c>
      <c r="Q12" s="42">
        <f>M12/41.2</f>
        <v>3.3980582524271843E-2</v>
      </c>
      <c r="R12" s="42">
        <f>N12/41.2</f>
        <v>5.946601941747573E-2</v>
      </c>
      <c r="S12" s="3" t="s">
        <v>26</v>
      </c>
      <c r="T12" s="40">
        <f t="shared" si="0"/>
        <v>1.044769417475728</v>
      </c>
      <c r="U12" s="40">
        <f t="shared" si="1"/>
        <v>2.1304371131346932E-2</v>
      </c>
      <c r="V12" s="42">
        <f t="shared" si="2"/>
        <v>4.8361650485436898E-2</v>
      </c>
      <c r="W12" s="42">
        <f t="shared" si="3"/>
        <v>1.9454995102768293E-2</v>
      </c>
      <c r="X12" s="46">
        <f t="shared" si="4"/>
        <v>6.0606060606060601E-2</v>
      </c>
      <c r="Y12" s="46">
        <f t="shared" si="5"/>
        <v>5.6521739130434782E-2</v>
      </c>
      <c r="Z12" s="46">
        <f t="shared" si="6"/>
        <v>3.1753232025402582E-2</v>
      </c>
      <c r="AA12" s="46">
        <f t="shared" si="7"/>
        <v>5.8361124344926164E-2</v>
      </c>
      <c r="AB12" s="46">
        <f t="shared" si="8"/>
        <v>5.1810539026706029E-2</v>
      </c>
      <c r="AC12" s="46">
        <f t="shared" si="9"/>
        <v>1.3475438625218411E-2</v>
      </c>
      <c r="AD12" s="47">
        <f t="shared" ref="AD12:AD17" si="11">AB12*100/0.54</f>
        <v>9.5945442642048189</v>
      </c>
      <c r="AE12" s="47">
        <f t="shared" si="10"/>
        <v>2.4954515972626683</v>
      </c>
    </row>
    <row r="13" spans="1:31" x14ac:dyDescent="0.35">
      <c r="A13" s="3" t="s">
        <v>28</v>
      </c>
      <c r="B13" s="35">
        <v>25.4</v>
      </c>
      <c r="C13" s="35">
        <v>26</v>
      </c>
      <c r="D13" s="44">
        <v>1.7</v>
      </c>
      <c r="E13" s="44">
        <v>1.9</v>
      </c>
      <c r="F13" s="40">
        <v>1.23</v>
      </c>
      <c r="G13" s="40">
        <v>1.26</v>
      </c>
      <c r="H13" s="42">
        <v>0.06</v>
      </c>
      <c r="I13" s="42">
        <v>5.8000000000000003E-2</v>
      </c>
      <c r="J13" s="3" t="s">
        <v>28</v>
      </c>
      <c r="K13" s="41">
        <v>39.4</v>
      </c>
      <c r="L13" s="41">
        <v>39.299999999999997</v>
      </c>
      <c r="M13" s="43">
        <v>0.9</v>
      </c>
      <c r="N13" s="43">
        <v>1.7</v>
      </c>
      <c r="O13" s="40">
        <f>K13/35</f>
        <v>1.1257142857142857</v>
      </c>
      <c r="P13" s="40">
        <f>L13/35</f>
        <v>1.1228571428571428</v>
      </c>
      <c r="Q13" s="42">
        <f>M13/35</f>
        <v>2.5714285714285714E-2</v>
      </c>
      <c r="R13" s="42">
        <f>N13/35</f>
        <v>4.8571428571428571E-2</v>
      </c>
      <c r="S13" s="3" t="s">
        <v>28</v>
      </c>
      <c r="T13" s="40">
        <f t="shared" si="0"/>
        <v>1.1846428571428571</v>
      </c>
      <c r="U13" s="40">
        <f t="shared" si="1"/>
        <v>7.0771982234410821E-2</v>
      </c>
      <c r="V13" s="42">
        <f t="shared" si="2"/>
        <v>4.8071428571428571E-2</v>
      </c>
      <c r="W13" s="42">
        <f t="shared" si="3"/>
        <v>1.5715800792763419E-2</v>
      </c>
      <c r="X13" s="46">
        <f t="shared" si="4"/>
        <v>6.6929133858267723E-2</v>
      </c>
      <c r="Y13" s="46">
        <f t="shared" si="5"/>
        <v>7.3076923076923067E-2</v>
      </c>
      <c r="Z13" s="46">
        <f t="shared" si="6"/>
        <v>2.2842639593908632E-2</v>
      </c>
      <c r="AA13" s="46">
        <f t="shared" si="7"/>
        <v>4.3256997455470743E-2</v>
      </c>
      <c r="AB13" s="46">
        <f t="shared" si="8"/>
        <v>5.1526423496142545E-2</v>
      </c>
      <c r="AC13" s="46">
        <f t="shared" si="9"/>
        <v>2.3042065768740818E-2</v>
      </c>
      <c r="AD13" s="47">
        <f t="shared" si="11"/>
        <v>9.5419302770634324</v>
      </c>
      <c r="AE13" s="47">
        <f t="shared" si="10"/>
        <v>4.2670492164334846</v>
      </c>
    </row>
    <row r="14" spans="1:31" x14ac:dyDescent="0.35">
      <c r="A14" s="3" t="s">
        <v>27</v>
      </c>
      <c r="B14" s="35">
        <v>27.6</v>
      </c>
      <c r="C14" s="35">
        <v>27.6</v>
      </c>
      <c r="D14" s="44">
        <v>0.2</v>
      </c>
      <c r="E14" s="44">
        <v>0.6</v>
      </c>
      <c r="F14" s="40">
        <f>B14/24.5</f>
        <v>1.1265306122448979</v>
      </c>
      <c r="G14" s="40">
        <f>C14/24.5</f>
        <v>1.1265306122448979</v>
      </c>
      <c r="H14" s="42">
        <f>D14/24.5</f>
        <v>8.1632653061224497E-3</v>
      </c>
      <c r="I14" s="42">
        <f>E14/24.5</f>
        <v>2.4489795918367346E-2</v>
      </c>
      <c r="J14" s="3" t="s">
        <v>27</v>
      </c>
      <c r="K14" s="41">
        <v>34</v>
      </c>
      <c r="L14" s="41">
        <v>35.6</v>
      </c>
      <c r="M14" s="43">
        <v>0.6</v>
      </c>
      <c r="N14" s="43">
        <v>1.4</v>
      </c>
      <c r="O14" s="40">
        <f>K14/36.4</f>
        <v>0.93406593406593408</v>
      </c>
      <c r="P14" s="40">
        <f>L14/36.4</f>
        <v>0.9780219780219781</v>
      </c>
      <c r="Q14" s="42">
        <f>M14/36.4</f>
        <v>1.6483516483516484E-2</v>
      </c>
      <c r="R14" s="42">
        <f>N14/36.4</f>
        <v>3.8461538461538464E-2</v>
      </c>
      <c r="S14" s="3" t="s">
        <v>27</v>
      </c>
      <c r="T14" s="40">
        <f t="shared" si="0"/>
        <v>1.041287284144427</v>
      </c>
      <c r="U14" s="40">
        <f t="shared" si="1"/>
        <v>0.10005293072954097</v>
      </c>
      <c r="V14" s="42">
        <f t="shared" si="2"/>
        <v>2.1899529042386186E-2</v>
      </c>
      <c r="W14" s="42">
        <f t="shared" si="3"/>
        <v>1.2897386969963108E-2</v>
      </c>
      <c r="X14" s="46">
        <f t="shared" si="4"/>
        <v>7.246376811594203E-3</v>
      </c>
      <c r="Y14" s="46">
        <f t="shared" si="5"/>
        <v>2.1739130434782608E-2</v>
      </c>
      <c r="Z14" s="46">
        <f t="shared" si="6"/>
        <v>1.7647058823529412E-2</v>
      </c>
      <c r="AA14" s="46">
        <f t="shared" si="7"/>
        <v>3.9325842696629212E-2</v>
      </c>
      <c r="AB14" s="46">
        <f t="shared" si="8"/>
        <v>2.1489602191633858E-2</v>
      </c>
      <c r="AC14" s="46">
        <f t="shared" si="9"/>
        <v>1.3364484632269904E-2</v>
      </c>
      <c r="AD14" s="47">
        <f t="shared" si="11"/>
        <v>3.9795559614136771</v>
      </c>
      <c r="AE14" s="47">
        <f t="shared" si="10"/>
        <v>2.4749045615314635</v>
      </c>
    </row>
    <row r="15" spans="1:31" x14ac:dyDescent="0.35">
      <c r="A15" s="3" t="s">
        <v>29</v>
      </c>
      <c r="B15" s="35">
        <v>46.2</v>
      </c>
      <c r="C15" s="35">
        <v>43.3</v>
      </c>
      <c r="D15" s="44">
        <v>2.5</v>
      </c>
      <c r="E15" s="44">
        <v>2.6</v>
      </c>
      <c r="F15" s="40">
        <f>B15/38</f>
        <v>1.2157894736842105</v>
      </c>
      <c r="G15" s="40">
        <f>C15/38</f>
        <v>1.1394736842105262</v>
      </c>
      <c r="H15" s="42">
        <f>D16/38</f>
        <v>0.30263157894736842</v>
      </c>
      <c r="I15" s="42">
        <f>E16/38</f>
        <v>0.32894736842105265</v>
      </c>
      <c r="J15" s="3" t="s">
        <v>29</v>
      </c>
      <c r="K15" s="41">
        <v>41.8</v>
      </c>
      <c r="L15" s="41">
        <v>43.5</v>
      </c>
      <c r="M15" s="43">
        <v>1.3</v>
      </c>
      <c r="N15" s="43">
        <v>0.9</v>
      </c>
      <c r="O15" s="40">
        <f>K15/36.8</f>
        <v>1.1358695652173914</v>
      </c>
      <c r="P15" s="40">
        <f>L15/36.8</f>
        <v>1.1820652173913044</v>
      </c>
      <c r="Q15" s="42">
        <f>M15/36.8</f>
        <v>3.5326086956521743E-2</v>
      </c>
      <c r="R15" s="42">
        <f>N15/36.8</f>
        <v>2.4456521739130436E-2</v>
      </c>
      <c r="S15" s="3" t="s">
        <v>29</v>
      </c>
      <c r="T15" s="40">
        <f t="shared" si="0"/>
        <v>1.1682994851258581</v>
      </c>
      <c r="U15" s="40">
        <f t="shared" si="1"/>
        <v>3.7979910925629766E-2</v>
      </c>
      <c r="V15" s="42">
        <f t="shared" si="2"/>
        <v>0.17284038901601831</v>
      </c>
      <c r="W15" s="42">
        <f t="shared" si="3"/>
        <v>0.16547215006531577</v>
      </c>
      <c r="X15" s="46">
        <f t="shared" si="4"/>
        <v>5.4112554112554112E-2</v>
      </c>
      <c r="Y15" s="46">
        <f t="shared" si="5"/>
        <v>6.0046189376443425E-2</v>
      </c>
      <c r="Z15" s="46">
        <f t="shared" si="6"/>
        <v>3.1100478468899524E-2</v>
      </c>
      <c r="AA15" s="46">
        <f t="shared" si="7"/>
        <v>2.0689655172413793E-2</v>
      </c>
      <c r="AB15" s="46">
        <f t="shared" si="8"/>
        <v>4.1487219282577717E-2</v>
      </c>
      <c r="AC15" s="46">
        <f t="shared" si="9"/>
        <v>1.8657058612054613E-2</v>
      </c>
      <c r="AD15" s="47">
        <f t="shared" si="11"/>
        <v>7.6828183856625403</v>
      </c>
      <c r="AE15" s="47">
        <f t="shared" si="10"/>
        <v>3.4550108540841875</v>
      </c>
    </row>
    <row r="16" spans="1:31" x14ac:dyDescent="0.35">
      <c r="A16" s="3" t="s">
        <v>30</v>
      </c>
      <c r="B16" s="35">
        <v>23.4</v>
      </c>
      <c r="C16" s="35">
        <v>24</v>
      </c>
      <c r="D16" s="44">
        <v>11.5</v>
      </c>
      <c r="E16" s="44">
        <v>12.5</v>
      </c>
      <c r="F16" s="40">
        <f>B16/19.4</f>
        <v>1.2061855670103092</v>
      </c>
      <c r="G16" s="40">
        <f>C16/19.4</f>
        <v>1.2371134020618557</v>
      </c>
      <c r="H16" s="42">
        <f>D16/19.4</f>
        <v>0.59278350515463918</v>
      </c>
      <c r="I16" s="42">
        <f>E16/19.4</f>
        <v>0.64432989690721654</v>
      </c>
      <c r="J16" s="3" t="s">
        <v>30</v>
      </c>
      <c r="K16" s="41">
        <v>38.4</v>
      </c>
      <c r="L16" s="41">
        <v>38.6</v>
      </c>
      <c r="M16" s="43">
        <v>18</v>
      </c>
      <c r="N16" s="43">
        <v>17.3</v>
      </c>
      <c r="O16" s="40">
        <f>K16/31.7</f>
        <v>1.2113564668769716</v>
      </c>
      <c r="P16" s="40">
        <f>L16/31.7</f>
        <v>1.2176656151419558</v>
      </c>
      <c r="Q16" s="42">
        <f>M16/31.7</f>
        <v>0.56782334384858046</v>
      </c>
      <c r="R16" s="42">
        <f>N16/31.7</f>
        <v>0.5457413249211357</v>
      </c>
      <c r="S16" s="3" t="s">
        <v>30</v>
      </c>
      <c r="T16" s="40">
        <f t="shared" si="0"/>
        <v>1.2180802627727731</v>
      </c>
      <c r="U16" s="40">
        <f t="shared" si="1"/>
        <v>1.3529295896748604E-2</v>
      </c>
      <c r="V16" s="42">
        <f t="shared" si="2"/>
        <v>0.587669517707893</v>
      </c>
      <c r="W16" s="42">
        <f t="shared" si="3"/>
        <v>4.2380795201892099E-2</v>
      </c>
      <c r="X16" s="46">
        <f t="shared" si="4"/>
        <v>0.49145299145299148</v>
      </c>
      <c r="Y16" s="46">
        <f t="shared" si="5"/>
        <v>0.52083333333333337</v>
      </c>
      <c r="Z16" s="46">
        <f t="shared" si="6"/>
        <v>0.46875</v>
      </c>
      <c r="AA16" s="46">
        <f t="shared" si="7"/>
        <v>0.44818652849740931</v>
      </c>
      <c r="AB16" s="46">
        <f t="shared" si="8"/>
        <v>0.48230571332093358</v>
      </c>
      <c r="AC16" s="46">
        <f t="shared" si="9"/>
        <v>3.1176520747223858E-2</v>
      </c>
      <c r="AD16" s="47">
        <f t="shared" si="11"/>
        <v>89.315872837209909</v>
      </c>
      <c r="AE16" s="47">
        <f t="shared" si="10"/>
        <v>5.7734297680044175</v>
      </c>
    </row>
    <row r="17" spans="1:31" x14ac:dyDescent="0.35">
      <c r="A17" s="3" t="s">
        <v>31</v>
      </c>
      <c r="B17" s="35">
        <v>36.799999999999997</v>
      </c>
      <c r="C17" s="35">
        <v>37.299999999999997</v>
      </c>
      <c r="D17" s="44">
        <v>5.2</v>
      </c>
      <c r="E17" s="44">
        <v>6.2</v>
      </c>
      <c r="F17" s="40">
        <f>B17/34.2</f>
        <v>1.0760233918128652</v>
      </c>
      <c r="G17" s="40">
        <f>C17/34.2</f>
        <v>1.0906432748538011</v>
      </c>
      <c r="H17" s="42">
        <f>D17/34.2</f>
        <v>0.15204678362573099</v>
      </c>
      <c r="I17" s="42">
        <f>E17/34.2</f>
        <v>0.18128654970760233</v>
      </c>
      <c r="J17" s="3" t="s">
        <v>31</v>
      </c>
      <c r="K17" s="41">
        <v>41.8</v>
      </c>
      <c r="L17" s="41">
        <v>39.799999999999997</v>
      </c>
      <c r="M17" s="43">
        <v>5.5</v>
      </c>
      <c r="N17" s="43">
        <v>4.4000000000000004</v>
      </c>
      <c r="O17" s="40">
        <f>K17/46</f>
        <v>0.90869565217391302</v>
      </c>
      <c r="P17" s="40">
        <f>L17/46</f>
        <v>0.86521739130434772</v>
      </c>
      <c r="Q17" s="42">
        <f>M17/46</f>
        <v>0.11956521739130435</v>
      </c>
      <c r="R17" s="42">
        <f>N17/46</f>
        <v>9.5652173913043481E-2</v>
      </c>
      <c r="S17" s="3" t="s">
        <v>31</v>
      </c>
      <c r="T17" s="40">
        <f t="shared" si="0"/>
        <v>0.98514492753623162</v>
      </c>
      <c r="U17" s="40">
        <f t="shared" si="1"/>
        <v>0.11491431910499297</v>
      </c>
      <c r="V17" s="42">
        <f t="shared" si="2"/>
        <v>0.13713768115942029</v>
      </c>
      <c r="W17" s="42">
        <f t="shared" si="3"/>
        <v>3.7422108994579338E-2</v>
      </c>
      <c r="X17" s="46">
        <f t="shared" si="4"/>
        <v>0.14130434782608697</v>
      </c>
      <c r="Y17" s="46">
        <f t="shared" si="5"/>
        <v>0.16621983914209118</v>
      </c>
      <c r="Z17" s="46">
        <f t="shared" si="6"/>
        <v>0.13157894736842107</v>
      </c>
      <c r="AA17" s="46">
        <f t="shared" si="7"/>
        <v>0.1105527638190955</v>
      </c>
      <c r="AB17" s="46">
        <f t="shared" si="8"/>
        <v>0.13741397453892368</v>
      </c>
      <c r="AC17" s="46">
        <f t="shared" si="9"/>
        <v>2.3097510856259048E-2</v>
      </c>
      <c r="AD17" s="47">
        <f t="shared" si="11"/>
        <v>25.447032322022903</v>
      </c>
      <c r="AE17" s="47">
        <f t="shared" si="10"/>
        <v>4.2773168252331573</v>
      </c>
    </row>
    <row r="18" spans="1:31" ht="16.5" x14ac:dyDescent="0.35">
      <c r="A18" s="3" t="s">
        <v>18</v>
      </c>
      <c r="B18" s="35">
        <v>40.799999999999997</v>
      </c>
      <c r="C18" s="35">
        <v>41.7</v>
      </c>
      <c r="D18" s="44">
        <v>26.2</v>
      </c>
      <c r="E18" s="44">
        <v>21.3</v>
      </c>
      <c r="F18" s="40">
        <v>0.86</v>
      </c>
      <c r="G18" s="40">
        <v>0.87</v>
      </c>
      <c r="H18" s="42">
        <f>D18/48</f>
        <v>0.54583333333333328</v>
      </c>
      <c r="I18" s="42">
        <f>E18/48</f>
        <v>0.44375000000000003</v>
      </c>
      <c r="J18" s="3" t="s">
        <v>18</v>
      </c>
      <c r="K18" s="41">
        <v>39.909999999999997</v>
      </c>
      <c r="L18" s="41">
        <v>38.94</v>
      </c>
      <c r="M18" s="43">
        <v>27.3</v>
      </c>
      <c r="N18" s="43">
        <v>21.3</v>
      </c>
      <c r="O18" s="40">
        <f>K18/44.6</f>
        <v>0.89484304932735415</v>
      </c>
      <c r="P18" s="40">
        <f>L18/44.6</f>
        <v>0.87309417040358739</v>
      </c>
      <c r="Q18" s="42">
        <f>M18/44.6</f>
        <v>0.61210762331838564</v>
      </c>
      <c r="R18" s="42">
        <f>N18/44.6</f>
        <v>0.47757847533632286</v>
      </c>
      <c r="S18" s="3" t="s">
        <v>18</v>
      </c>
      <c r="T18" s="40">
        <f t="shared" si="0"/>
        <v>0.87448430493273532</v>
      </c>
      <c r="U18" s="40">
        <f t="shared" si="1"/>
        <v>1.4677818042301885E-2</v>
      </c>
      <c r="V18" s="42">
        <f t="shared" si="2"/>
        <v>0.51981735799701045</v>
      </c>
      <c r="W18" s="42">
        <f t="shared" si="3"/>
        <v>7.4754465210801466E-2</v>
      </c>
      <c r="X18" s="46">
        <f t="shared" si="4"/>
        <v>0.64215686274509809</v>
      </c>
      <c r="Y18" s="46">
        <f t="shared" si="5"/>
        <v>0.51079136690647475</v>
      </c>
      <c r="Z18" s="46">
        <f t="shared" si="6"/>
        <v>0.68403908794788282</v>
      </c>
      <c r="AA18" s="46">
        <f t="shared" si="7"/>
        <v>0.54699537750385208</v>
      </c>
      <c r="AB18" s="46">
        <f t="shared" si="8"/>
        <v>0.59599567377582696</v>
      </c>
      <c r="AC18" s="46">
        <f t="shared" si="9"/>
        <v>8.0712041831763101E-2</v>
      </c>
      <c r="AD18" s="47">
        <v>100</v>
      </c>
      <c r="AE18" s="47">
        <f t="shared" si="10"/>
        <v>14.946674413289461</v>
      </c>
    </row>
    <row r="19" spans="1:31" x14ac:dyDescent="0.35">
      <c r="A19" s="3" t="s">
        <v>32</v>
      </c>
      <c r="B19" s="35">
        <v>41.8</v>
      </c>
      <c r="C19" s="35">
        <v>40.200000000000003</v>
      </c>
      <c r="D19" s="44">
        <v>2.2999999999999998</v>
      </c>
      <c r="E19" s="44">
        <v>3.3</v>
      </c>
      <c r="F19" s="40">
        <v>1.1200000000000001</v>
      </c>
      <c r="G19" s="40">
        <v>1.08</v>
      </c>
      <c r="H19" s="42">
        <f>D19/37.3</f>
        <v>6.1662198391420911E-2</v>
      </c>
      <c r="I19" s="42">
        <f>E19/37.3</f>
        <v>8.8471849865951746E-2</v>
      </c>
      <c r="J19" s="3" t="s">
        <v>32</v>
      </c>
      <c r="K19" s="41">
        <v>43.9</v>
      </c>
      <c r="L19" s="41">
        <v>42.96</v>
      </c>
      <c r="M19" s="43">
        <v>3.8</v>
      </c>
      <c r="N19" s="43">
        <v>3.5</v>
      </c>
      <c r="O19" s="40">
        <f>K19/34.2</f>
        <v>1.2836257309941519</v>
      </c>
      <c r="P19" s="40">
        <f>L19/34.2</f>
        <v>1.2561403508771929</v>
      </c>
      <c r="Q19" s="42">
        <f>M19/34.2</f>
        <v>0.11111111111111109</v>
      </c>
      <c r="R19" s="42">
        <f>N19/34.2</f>
        <v>0.1023391812865497</v>
      </c>
      <c r="S19" s="3" t="s">
        <v>32</v>
      </c>
      <c r="T19" s="40">
        <f t="shared" si="0"/>
        <v>1.1849415204678362</v>
      </c>
      <c r="U19" s="40">
        <f t="shared" si="1"/>
        <v>0.10006326441746437</v>
      </c>
      <c r="V19" s="42">
        <f t="shared" si="2"/>
        <v>9.0896085163758356E-2</v>
      </c>
      <c r="W19" s="42">
        <f t="shared" si="3"/>
        <v>2.1603153901877142E-2</v>
      </c>
      <c r="X19" s="46">
        <f t="shared" si="4"/>
        <v>5.5023923444976079E-2</v>
      </c>
      <c r="Y19" s="46">
        <f t="shared" si="5"/>
        <v>8.2089552238805957E-2</v>
      </c>
      <c r="Z19" s="46">
        <f t="shared" si="6"/>
        <v>8.656036446469248E-2</v>
      </c>
      <c r="AA19" s="46">
        <f t="shared" si="7"/>
        <v>8.1471135940409681E-2</v>
      </c>
      <c r="AB19" s="46">
        <f t="shared" si="8"/>
        <v>7.6286244022221048E-2</v>
      </c>
      <c r="AC19" s="46">
        <f t="shared" si="9"/>
        <v>1.4355084089570567E-2</v>
      </c>
      <c r="AD19" s="47">
        <f>AB19*100/0.6</f>
        <v>12.714374003703508</v>
      </c>
      <c r="AE19" s="47">
        <f>AC19*100/0.6</f>
        <v>2.3925140149284281</v>
      </c>
    </row>
    <row r="22" spans="1:31" x14ac:dyDescent="0.35">
      <c r="B22" t="s">
        <v>37</v>
      </c>
      <c r="F22" s="20" t="s">
        <v>49</v>
      </c>
      <c r="G22" s="20"/>
    </row>
    <row r="23" spans="1:31" x14ac:dyDescent="0.35">
      <c r="B23" t="s">
        <v>47</v>
      </c>
      <c r="C23" t="s">
        <v>66</v>
      </c>
      <c r="D23" t="s">
        <v>25</v>
      </c>
      <c r="E23" t="s">
        <v>63</v>
      </c>
      <c r="F23" s="20" t="s">
        <v>7</v>
      </c>
      <c r="G23" s="20" t="s">
        <v>63</v>
      </c>
    </row>
    <row r="24" spans="1:31" ht="16.5" x14ac:dyDescent="0.35">
      <c r="A24" s="3" t="s">
        <v>15</v>
      </c>
      <c r="B24" s="1">
        <v>1.05048064001216</v>
      </c>
      <c r="C24" s="1">
        <v>0.12204075351126513</v>
      </c>
      <c r="D24" s="2">
        <v>100</v>
      </c>
      <c r="E24" s="2">
        <f>C24*100/1.05</f>
        <v>11.622928905834772</v>
      </c>
      <c r="F24" s="21">
        <v>105.39736532915039</v>
      </c>
      <c r="G24" s="21">
        <v>3.3298981201637017</v>
      </c>
    </row>
    <row r="25" spans="1:31" x14ac:dyDescent="0.35">
      <c r="A25" s="3" t="s">
        <v>16</v>
      </c>
      <c r="B25" s="1">
        <v>0.83215213559322032</v>
      </c>
      <c r="C25" s="1">
        <v>2.3380646413145714E-2</v>
      </c>
      <c r="D25" s="2">
        <f>B25*100/1.05</f>
        <v>79.252584342211463</v>
      </c>
      <c r="E25" s="2">
        <f>C25*100/1.05</f>
        <v>2.2267282298234012</v>
      </c>
      <c r="F25" s="21">
        <v>19.338231922980476</v>
      </c>
      <c r="G25" s="21">
        <v>4.635261426054365</v>
      </c>
    </row>
    <row r="26" spans="1:31" x14ac:dyDescent="0.35">
      <c r="A26" s="3" t="s">
        <v>17</v>
      </c>
      <c r="B26" s="1">
        <v>1.0956952683896621</v>
      </c>
      <c r="C26" s="1">
        <v>0.21185673470659133</v>
      </c>
      <c r="D26" s="2">
        <f>B26*100/1.05</f>
        <v>104.35193032282496</v>
      </c>
      <c r="E26" s="2">
        <f>C26*100/1.05</f>
        <v>20.17683187681822</v>
      </c>
      <c r="F26" s="21">
        <v>8.7154273809358038</v>
      </c>
      <c r="G26" s="21">
        <v>1.7502398444213876</v>
      </c>
    </row>
    <row r="27" spans="1:31" ht="16.5" x14ac:dyDescent="0.35">
      <c r="A27" s="3" t="s">
        <v>18</v>
      </c>
      <c r="B27" s="1">
        <v>1.0882688375650045</v>
      </c>
      <c r="C27" s="1">
        <v>0.17061321489476405</v>
      </c>
      <c r="D27" s="2">
        <v>100</v>
      </c>
      <c r="E27" s="2">
        <f>C27*100/1.09</f>
        <v>15.652588522455417</v>
      </c>
      <c r="F27" s="21">
        <v>111.42515809701241</v>
      </c>
      <c r="G27" s="21">
        <v>9.0864143349472926</v>
      </c>
    </row>
    <row r="28" spans="1:31" x14ac:dyDescent="0.35">
      <c r="A28" s="3" t="s">
        <v>19</v>
      </c>
      <c r="B28" s="1">
        <v>1.0487809581181871</v>
      </c>
      <c r="C28" s="1">
        <v>8.6360725037038261E-2</v>
      </c>
      <c r="D28" s="2">
        <f>B28*100/1.09</f>
        <v>96.218436524604314</v>
      </c>
      <c r="E28" s="2">
        <f>C28*100/1.09</f>
        <v>7.9230022969759863</v>
      </c>
      <c r="F28" s="21">
        <v>7.4189633738457577</v>
      </c>
      <c r="G28" s="21">
        <v>1.3207937768725613</v>
      </c>
    </row>
    <row r="29" spans="1:31" ht="16.5" x14ac:dyDescent="0.35">
      <c r="A29" s="3" t="s">
        <v>15</v>
      </c>
      <c r="B29" s="45">
        <v>1.07</v>
      </c>
      <c r="C29" s="45">
        <v>0.13</v>
      </c>
      <c r="D29" s="4">
        <v>100</v>
      </c>
      <c r="E29" s="4">
        <f t="shared" ref="E29:E35" si="12">C29*100/1.07</f>
        <v>12.149532710280374</v>
      </c>
      <c r="F29" s="21">
        <v>100</v>
      </c>
      <c r="G29" s="21">
        <v>13.1</v>
      </c>
      <c r="H29" s="12"/>
    </row>
    <row r="30" spans="1:31" x14ac:dyDescent="0.35">
      <c r="A30" s="3" t="s">
        <v>26</v>
      </c>
      <c r="B30" s="45">
        <v>1.04</v>
      </c>
      <c r="C30" s="45">
        <v>0.02</v>
      </c>
      <c r="D30" s="4">
        <f t="shared" ref="D30:D35" si="13">B30*100/1.07</f>
        <v>97.196261682242991</v>
      </c>
      <c r="E30" s="4">
        <f t="shared" si="12"/>
        <v>1.8691588785046729</v>
      </c>
      <c r="F30" s="21">
        <v>9.6</v>
      </c>
      <c r="G30" s="21">
        <v>2</v>
      </c>
      <c r="H30" s="12"/>
    </row>
    <row r="31" spans="1:31" x14ac:dyDescent="0.35">
      <c r="A31" s="3" t="s">
        <v>28</v>
      </c>
      <c r="B31" s="45">
        <v>1.18</v>
      </c>
      <c r="C31" s="45">
        <v>7.0000000000000007E-2</v>
      </c>
      <c r="D31" s="4">
        <f t="shared" si="13"/>
        <v>110.28037383177569</v>
      </c>
      <c r="E31" s="4">
        <f t="shared" si="12"/>
        <v>6.5420560747663554</v>
      </c>
      <c r="F31" s="21">
        <v>9</v>
      </c>
      <c r="G31" s="21">
        <v>4</v>
      </c>
      <c r="H31" s="12"/>
    </row>
    <row r="32" spans="1:31" x14ac:dyDescent="0.35">
      <c r="A32" s="3" t="s">
        <v>27</v>
      </c>
      <c r="B32" s="45">
        <v>1.04</v>
      </c>
      <c r="C32" s="45">
        <v>0.1</v>
      </c>
      <c r="D32" s="4">
        <f t="shared" si="13"/>
        <v>97.196261682242991</v>
      </c>
      <c r="E32" s="4">
        <f t="shared" si="12"/>
        <v>9.3457943925233646</v>
      </c>
      <c r="F32" s="21">
        <v>3.7</v>
      </c>
      <c r="G32" s="21">
        <v>3</v>
      </c>
      <c r="H32" s="12"/>
    </row>
    <row r="33" spans="1:8" x14ac:dyDescent="0.35">
      <c r="A33" s="3" t="s">
        <v>29</v>
      </c>
      <c r="B33" s="45">
        <v>1.17</v>
      </c>
      <c r="C33" s="45">
        <v>0.04</v>
      </c>
      <c r="D33" s="4">
        <f t="shared" si="13"/>
        <v>109.34579439252336</v>
      </c>
      <c r="E33" s="4">
        <f t="shared" si="12"/>
        <v>3.7383177570093458</v>
      </c>
      <c r="F33" s="21">
        <v>8</v>
      </c>
      <c r="G33" s="21">
        <v>3</v>
      </c>
      <c r="H33" s="12"/>
    </row>
    <row r="34" spans="1:8" x14ac:dyDescent="0.35">
      <c r="A34" s="3" t="s">
        <v>30</v>
      </c>
      <c r="B34" s="45">
        <v>1.22</v>
      </c>
      <c r="C34" s="45">
        <v>0.01</v>
      </c>
      <c r="D34" s="4">
        <f t="shared" si="13"/>
        <v>114.01869158878505</v>
      </c>
      <c r="E34" s="4">
        <f t="shared" si="12"/>
        <v>0.93457943925233644</v>
      </c>
      <c r="F34" s="21">
        <v>88.5</v>
      </c>
      <c r="G34" s="21">
        <v>6</v>
      </c>
      <c r="H34" s="12"/>
    </row>
    <row r="35" spans="1:8" x14ac:dyDescent="0.35">
      <c r="A35" s="3" t="s">
        <v>31</v>
      </c>
      <c r="B35" s="45">
        <v>0.99</v>
      </c>
      <c r="C35" s="45">
        <v>0.11</v>
      </c>
      <c r="D35" s="4">
        <f t="shared" si="13"/>
        <v>92.523364485981304</v>
      </c>
      <c r="E35" s="4">
        <f t="shared" si="12"/>
        <v>10.2803738317757</v>
      </c>
      <c r="F35" s="21">
        <v>24.8</v>
      </c>
      <c r="G35" s="21">
        <v>4</v>
      </c>
      <c r="H35" s="12"/>
    </row>
    <row r="36" spans="1:8" ht="16.5" x14ac:dyDescent="0.35">
      <c r="A36" s="3" t="s">
        <v>18</v>
      </c>
      <c r="B36" s="45">
        <v>0.87</v>
      </c>
      <c r="C36" s="45">
        <v>0.01</v>
      </c>
      <c r="D36" s="4">
        <v>100</v>
      </c>
      <c r="E36" s="4">
        <f>C36*100/0.87</f>
        <v>1.1494252873563218</v>
      </c>
      <c r="F36" s="21">
        <v>100</v>
      </c>
      <c r="G36" s="21">
        <v>14.9</v>
      </c>
      <c r="H36" s="12"/>
    </row>
    <row r="37" spans="1:8" x14ac:dyDescent="0.35">
      <c r="A37" s="3" t="s">
        <v>32</v>
      </c>
      <c r="B37" s="45">
        <v>1.18</v>
      </c>
      <c r="C37" s="45">
        <v>0.1</v>
      </c>
      <c r="D37" s="4">
        <f>B37*100/0.87</f>
        <v>135.63218390804599</v>
      </c>
      <c r="E37" s="4">
        <f>C37*100/0.87</f>
        <v>11.494252873563218</v>
      </c>
      <c r="F37" s="21">
        <v>13</v>
      </c>
      <c r="G37" s="21">
        <v>2</v>
      </c>
      <c r="H37" s="12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workbookViewId="0">
      <selection activeCell="J14" sqref="J14"/>
    </sheetView>
  </sheetViews>
  <sheetFormatPr baseColWidth="10" defaultRowHeight="14.5" x14ac:dyDescent="0.35"/>
  <sheetData>
    <row r="1" spans="1:1" x14ac:dyDescent="0.35">
      <c r="A1" s="27" t="s">
        <v>71</v>
      </c>
    </row>
    <row r="2" spans="1:1" x14ac:dyDescent="0.35">
      <c r="A2" t="s">
        <v>45</v>
      </c>
    </row>
    <row r="18" spans="2:2" x14ac:dyDescent="0.35">
      <c r="B18" t="s">
        <v>68</v>
      </c>
    </row>
    <row r="19" spans="2:2" x14ac:dyDescent="0.35">
      <c r="B19" t="s">
        <v>67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Source Data_Suppl. Table 1</vt:lpstr>
      <vt:lpstr>Source Data_Suppl. Table 3</vt:lpstr>
      <vt:lpstr>Source Data_Suppl. Fig. 3</vt:lpstr>
    </vt:vector>
  </TitlesOfParts>
  <Company>OEM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muench1</dc:creator>
  <cp:lastModifiedBy>muench1</cp:lastModifiedBy>
  <dcterms:created xsi:type="dcterms:W3CDTF">2020-10-14T11:39:29Z</dcterms:created>
  <dcterms:modified xsi:type="dcterms:W3CDTF">2020-10-23T13:09:38Z</dcterms:modified>
</cp:coreProperties>
</file>